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10995" activeTab="0"/>
  </bookViews>
  <sheets>
    <sheet name="на 01.08.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5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Кап строительство пруд в кумен районе 30 000, противопаводновые 3 000, 4 000 мелиор меропр в рыбохозяйственных водоемах</t>
        </r>
      </text>
    </comment>
    <comment ref="G56" authorId="0">
      <text>
        <r>
          <rPr>
            <b/>
            <sz val="8"/>
            <rFont val="Tahoma"/>
            <family val="2"/>
          </rPr>
          <t xml:space="preserve">1 Получено 3 000 на противопаводковые мероприятия, 30 000 на капитальные вложения
</t>
        </r>
        <r>
          <rPr>
            <sz val="8"/>
            <rFont val="Tahoma"/>
            <family val="2"/>
          </rPr>
          <t xml:space="preserve">
</t>
        </r>
      </text>
    </comment>
    <comment ref="G63" authorId="0">
      <text>
        <r>
          <rPr>
            <b/>
            <sz val="8"/>
            <rFont val="Tahoma"/>
            <family val="2"/>
          </rPr>
          <t xml:space="preserve">Автор: Созинова
</t>
        </r>
        <r>
          <rPr>
            <sz val="8"/>
            <rFont val="Tahoma"/>
            <family val="2"/>
          </rPr>
          <t xml:space="preserve">
Передано хозяйствам техники  1036,412 , племенного скота - 11430,414 (Красногорский) ,  оборудования 72 040,940, кроме того без актов приема передачи  оборудования - 18793,940. Поступила в область техника 33293,743 - на складах идет приемка, обслуживание, в хозяйства пока не передана (в итог не входит)
</t>
        </r>
      </text>
    </comment>
  </commentList>
</comments>
</file>

<file path=xl/sharedStrings.xml><?xml version="1.0" encoding="utf-8"?>
<sst xmlns="http://schemas.openxmlformats.org/spreadsheetml/2006/main" count="117" uniqueCount="109">
  <si>
    <t>ИНФОРМАЦИЯ</t>
  </si>
  <si>
    <t>о финансировании АПК Кировской области</t>
  </si>
  <si>
    <t>по Департаменту сельского хозяйства и продовольствия Кировской области</t>
  </si>
  <si>
    <t xml:space="preserve"> </t>
  </si>
  <si>
    <t xml:space="preserve"> тыс. рублей</t>
  </si>
  <si>
    <t>Наименование статей (подстатей) классификации расходов бюджетов</t>
  </si>
  <si>
    <t>Областной бюджет</t>
  </si>
  <si>
    <t>Федеральный бюджет</t>
  </si>
  <si>
    <t>Факт</t>
  </si>
  <si>
    <t>% выполнения</t>
  </si>
  <si>
    <t>Всего</t>
  </si>
  <si>
    <t>Повышение доступности кредитов  и займов для с/х товаропроизводителей,  организаций АПК и организаций потребкооперации</t>
  </si>
  <si>
    <t xml:space="preserve">Субвенции  на уплату процентов по кркедитам (займам), полученным на срок до 1 года </t>
  </si>
  <si>
    <t xml:space="preserve">Субвенции на уплату процентов  по  инвестиционным кредитам за счет областного бюджета </t>
  </si>
  <si>
    <t>Субсидирование процентных ставок по кредитам на развитие промышленного рыбоводства</t>
  </si>
  <si>
    <t>Субсидирование процентных ставок по инвестиционным кредитам</t>
  </si>
  <si>
    <t xml:space="preserve">  от 2 до 8 лет (ПНП), до 10 лет (2011г.) (через департамент с/х)</t>
  </si>
  <si>
    <r>
      <t>субвенции</t>
    </r>
    <r>
      <rPr>
        <sz val="12"/>
        <rFont val="Times New Roman"/>
        <family val="1"/>
      </rPr>
      <t xml:space="preserve"> 3, 5, 8, 10 летние кредиты</t>
    </r>
  </si>
  <si>
    <t>Субсидирование процентных ставок по  кредитам на развитие малых форм хозяйствования</t>
  </si>
  <si>
    <t>в том числе:</t>
  </si>
  <si>
    <t xml:space="preserve">         Граждане, ведущие ЛПХ, и крестянские   (фермерские) хозяйства-физические лица</t>
  </si>
  <si>
    <t xml:space="preserve">         С/х потребительские кооперативы и крестянские (фермерские) хозяйства-юридические лица</t>
  </si>
  <si>
    <t>Концентрация земельных участков их земель с/х назначения в собственности области и обеспечение эффективного управления ими</t>
  </si>
  <si>
    <t>Невостребованные земельные доли</t>
  </si>
  <si>
    <t>Востребованные земельные доли</t>
  </si>
  <si>
    <r>
      <t>Создание условий для развития пищевой и перерабатывающей промышленности, закрепления организаций мясной и молочной  промышленности, организаций пищевой промышленности, производящих подакцизные товары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на традиционных продовольственных рынках и выхода их на межрегиональные  продовольственные рынки</t>
    </r>
  </si>
  <si>
    <t>3.2.</t>
  </si>
  <si>
    <t>Осуществление технической и технологической модернизации (возмещение процентных ставок)</t>
  </si>
  <si>
    <t>3.3.</t>
  </si>
  <si>
    <t xml:space="preserve"> Возмещение организациям пищевой  промышленности, производящим подакцизные товары, части затрат в связи с релизацией товаров за пределами Кировской области (через департамент промышленности)</t>
  </si>
  <si>
    <t>Создание условий для развития базовых и перспективных  в долгосрочном периоде отраслей сельского хозяйства</t>
  </si>
  <si>
    <t>4.1.</t>
  </si>
  <si>
    <t>Семеноводство сельскохозяйственных культур</t>
  </si>
  <si>
    <t>4.2.</t>
  </si>
  <si>
    <t>Развитие племенного животноводства</t>
  </si>
  <si>
    <t>4.3.</t>
  </si>
  <si>
    <t>Развитие льняного комплекса</t>
  </si>
  <si>
    <t>4.4.</t>
  </si>
  <si>
    <t>Развитие мясного скотоводства</t>
  </si>
  <si>
    <t>Создание предпосылок устойчивого развития сельских территорий, повышения занятости и уровня жизни сельского населения</t>
  </si>
  <si>
    <t>5.1.3.</t>
  </si>
  <si>
    <t>Стимулирование интеграционных процессов в сельском хозяйстве</t>
  </si>
  <si>
    <t>Премии победителям и призерам ежегодного конкурса "Лучшее личное подсобное хозяйство"</t>
  </si>
  <si>
    <t>5.3.</t>
  </si>
  <si>
    <t>Закладка многолетних насаждений и уход за ними</t>
  </si>
  <si>
    <t>Повышение конкурентоспособности продукции и устойчивости функционирования организаций АПК области</t>
  </si>
  <si>
    <t>6.1.</t>
  </si>
  <si>
    <t>Сздание и развитие информационно-консультационной службы ИКЦ</t>
  </si>
  <si>
    <t>6.2.1.</t>
  </si>
  <si>
    <t>Субсидии за реализованную сельхозпродукцию</t>
  </si>
  <si>
    <t>6.2.2.</t>
  </si>
  <si>
    <t>Предоставление субсидий на увеличение производства молока</t>
  </si>
  <si>
    <t>Субсидии на приобретение ГСМ</t>
  </si>
  <si>
    <t>6.2.3.</t>
  </si>
  <si>
    <t>Субсидии на сельскохозяйственное страхование</t>
  </si>
  <si>
    <t>6.2.4.</t>
  </si>
  <si>
    <t>Научное и информационное решение проблем (КГТРК "Вятка")</t>
  </si>
  <si>
    <t>6.2.3.2.</t>
  </si>
  <si>
    <t>Субсидии на перевозку приобретенных и заготовленных  для покрытия недостатка грубых и сочных кормов</t>
  </si>
  <si>
    <t>Субсидии  на приобремение для покрытия недостатка кормов для сельскоозяйственных животных</t>
  </si>
  <si>
    <t>Субсидии  гражданам, ведущим ЛПХ, на возмещение затрат, вызванных гибелью с/х растений в результате засухи, на заготовку и (или) приобремение  кормов для коров</t>
  </si>
  <si>
    <t>6.3.</t>
  </si>
  <si>
    <t>Комплекс мер по защите сельскохозяйственных культур от вредителей, болезней и сорняков</t>
  </si>
  <si>
    <t>6.4.</t>
  </si>
  <si>
    <t>Ветеринарное обеспечение и проведение противоэпизоотических мероприятий</t>
  </si>
  <si>
    <t>6.5.</t>
  </si>
  <si>
    <t>Повышение кадрового потэнциала АПК области</t>
  </si>
  <si>
    <t>6.6.</t>
  </si>
  <si>
    <t xml:space="preserve">Создание системы информационного обеспечения </t>
  </si>
  <si>
    <t>7.1.</t>
  </si>
  <si>
    <t>Агрохимическое и фитосанитарное обследование почв с/х угодий</t>
  </si>
  <si>
    <t>7.2.</t>
  </si>
  <si>
    <t>Проведение комплекса работ по агрохимической мелиорации земель с/х назначения (известкование, фосфоритование)</t>
  </si>
  <si>
    <t>7.3.1.</t>
  </si>
  <si>
    <t>Приобретение агрохимикатов</t>
  </si>
  <si>
    <t>7.3.2.</t>
  </si>
  <si>
    <t>Подсев трав</t>
  </si>
  <si>
    <t>7.4.1.</t>
  </si>
  <si>
    <t>Проектирование, строительство, содержание, включая обследование, ремонт и реконструкцию мелиоративных систем</t>
  </si>
  <si>
    <t>7.4.2.</t>
  </si>
  <si>
    <t>Культуртехнические и противоэрозионные мероприятия</t>
  </si>
  <si>
    <t>7.5.1.</t>
  </si>
  <si>
    <t xml:space="preserve">Научное и информационное обеспечение, разработка и исследование новых технологий, организация и проведение конкурсов, семинаров, совещаний, конференций, подготовка, издание и выпуск методической литературы </t>
  </si>
  <si>
    <t>Содействие технической и технологической модернизации сельского хозяйства</t>
  </si>
  <si>
    <t>8.1.</t>
  </si>
  <si>
    <t xml:space="preserve">Возмещение затрат на приобретение современной с/х техники, оборудования </t>
  </si>
  <si>
    <t>8.2.</t>
  </si>
  <si>
    <t>Возмещение затрат на и на уплату лизинговых платежей по договорам финансовой аренды (лизинга)</t>
  </si>
  <si>
    <t>в том числе из федерального бюджета лизинг с/х машин и племскота</t>
  </si>
  <si>
    <t>Социальное развитие села до 2012 года</t>
  </si>
  <si>
    <t>в т.ч.  Обеспечение жильем</t>
  </si>
  <si>
    <t>Соцсфера (Водоснабжение, Здравоохранение)</t>
  </si>
  <si>
    <t>Газоснабжение в рамках ФЦП</t>
  </si>
  <si>
    <t xml:space="preserve">Финансовое обеспечение расходных обязательств местных бюджетов по переданным полномочиям </t>
  </si>
  <si>
    <t>ВСЕГО</t>
  </si>
  <si>
    <t xml:space="preserve"> в том числе   АПК до 2015 года</t>
  </si>
  <si>
    <t xml:space="preserve">                      Соц. развитие села</t>
  </si>
  <si>
    <t>Областная целевая программа "Развитие агропромышленного комплекса Кировской области на период до 2015 года"</t>
  </si>
  <si>
    <t>ИТОГО по целевым программам</t>
  </si>
  <si>
    <t>Лизинг с/х машин и племскота</t>
  </si>
  <si>
    <t>Плодородие</t>
  </si>
  <si>
    <t>Субсидия на поддержку свиноводства, яичного и мясного птицеводства</t>
  </si>
  <si>
    <t>Возмещение организациям пищевой промышленности, производящим поакцизные товары, части затрат в связи с реализацией товаров за пределами Кировской области (через департамент промышленности)</t>
  </si>
  <si>
    <t>Кроме того                                    Департамент предпринимательства</t>
  </si>
  <si>
    <t>План на 2012 год *</t>
  </si>
  <si>
    <t>План на 2012 год*</t>
  </si>
  <si>
    <t>* План на 2012 год по средствам областного бюджета отражен в объеме, установленном Законом Кировской области от 01.12.2011   № 91-ЗО "Об областном бюджете на 2012 год и плановый период 2013-2014 годов", по средствам федерального бюджета в объеме, установленном проектом Соглашения с Минсельхозом России на 2012 год</t>
  </si>
  <si>
    <t>Поддержание почвенного плодородия</t>
  </si>
  <si>
    <t>на 01 августа 2012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</si>
</sst>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%"/>
    <numFmt numFmtId="167" formatCode="_(* #,##0.00_);_(* \(#,##0.00\);_(* &quot;-&quot;??_);_(@_)"/>
    <numFmt numFmtId="168" formatCode="_-* #,##0_р_._-;\-* #,##0_р_._-;_-* &quot;-&quot;??_р_._-;_-@_-"/>
    <numFmt numFmtId="169" formatCode="_-* #,##0.000_р_._-;\-* #,##0.000_р_._-;_-* &quot;-&quot;??_р_._-;_-@_-"/>
    <numFmt numFmtId="170" formatCode="#,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G 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164" fontId="3" fillId="0" borderId="12" xfId="0" applyNumberFormat="1" applyFont="1" applyFill="1" applyBorder="1" applyAlignment="1">
      <alignment horizontal="center" vertical="center" wrapText="1"/>
    </xf>
    <xf numFmtId="166" fontId="3" fillId="0" borderId="12" xfId="55" applyNumberFormat="1" applyFont="1" applyFill="1" applyBorder="1" applyAlignment="1">
      <alignment horizontal="center" vertical="center" wrapText="1"/>
    </xf>
    <xf numFmtId="166" fontId="3" fillId="0" borderId="12" xfId="55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164" fontId="3" fillId="0" borderId="12" xfId="58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top" wrapText="1"/>
    </xf>
    <xf numFmtId="164" fontId="5" fillId="0" borderId="12" xfId="58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top" wrapText="1"/>
    </xf>
    <xf numFmtId="164" fontId="3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justify" vertical="center"/>
    </xf>
    <xf numFmtId="0" fontId="3" fillId="0" borderId="17" xfId="0" applyFont="1" applyFill="1" applyBorder="1" applyAlignment="1">
      <alignment horizontal="left" vertical="top" wrapText="1"/>
    </xf>
    <xf numFmtId="164" fontId="3" fillId="0" borderId="12" xfId="0" applyNumberFormat="1" applyFont="1" applyFill="1" applyBorder="1" applyAlignment="1">
      <alignment/>
    </xf>
    <xf numFmtId="164" fontId="3" fillId="0" borderId="12" xfId="58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164" fontId="3" fillId="0" borderId="12" xfId="58" applyNumberFormat="1" applyFont="1" applyFill="1" applyBorder="1" applyAlignment="1">
      <alignment vertical="center"/>
    </xf>
    <xf numFmtId="164" fontId="3" fillId="0" borderId="12" xfId="58" applyNumberFormat="1" applyFont="1" applyFill="1" applyBorder="1" applyAlignment="1">
      <alignment/>
    </xf>
    <xf numFmtId="0" fontId="5" fillId="0" borderId="1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64" fontId="5" fillId="0" borderId="12" xfId="0" applyNumberFormat="1" applyFont="1" applyFill="1" applyBorder="1" applyAlignment="1">
      <alignment horizontal="center"/>
    </xf>
    <xf numFmtId="9" fontId="5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7" xfId="0" applyFont="1" applyFill="1" applyBorder="1" applyAlignment="1">
      <alignment vertical="top" wrapText="1"/>
    </xf>
    <xf numFmtId="0" fontId="4" fillId="0" borderId="12" xfId="0" applyFont="1" applyFill="1" applyBorder="1" applyAlignment="1">
      <alignment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top" wrapText="1"/>
    </xf>
    <xf numFmtId="9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9" fontId="4" fillId="0" borderId="18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9" fontId="3" fillId="0" borderId="26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165" fontId="4" fillId="0" borderId="26" xfId="0" applyNumberFormat="1" applyFont="1" applyFill="1" applyBorder="1" applyAlignment="1">
      <alignment horizontal="center"/>
    </xf>
    <xf numFmtId="165" fontId="4" fillId="0" borderId="27" xfId="0" applyNumberFormat="1" applyFont="1" applyFill="1" applyBorder="1" applyAlignment="1">
      <alignment horizontal="center"/>
    </xf>
    <xf numFmtId="165" fontId="4" fillId="0" borderId="28" xfId="0" applyNumberFormat="1" applyFont="1" applyFill="1" applyBorder="1" applyAlignment="1">
      <alignment horizontal="center"/>
    </xf>
    <xf numFmtId="165" fontId="4" fillId="0" borderId="29" xfId="0" applyNumberFormat="1" applyFont="1" applyFill="1" applyBorder="1" applyAlignment="1">
      <alignment horizontal="center"/>
    </xf>
    <xf numFmtId="9" fontId="4" fillId="0" borderId="18" xfId="0" applyNumberFormat="1" applyFont="1" applyFill="1" applyBorder="1" applyAlignment="1">
      <alignment horizontal="center" vertical="center" wrapText="1"/>
    </xf>
    <xf numFmtId="9" fontId="4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7" fontId="2" fillId="0" borderId="0" xfId="0" applyNumberFormat="1" applyFont="1" applyFill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5"/>
  <sheetViews>
    <sheetView tabSelected="1" zoomScalePageLayoutView="0" workbookViewId="0" topLeftCell="A5">
      <selection activeCell="J8" sqref="J8"/>
    </sheetView>
  </sheetViews>
  <sheetFormatPr defaultColWidth="9.140625" defaultRowHeight="15"/>
  <cols>
    <col min="1" max="1" width="5.7109375" style="0" customWidth="1"/>
    <col min="2" max="2" width="41.57421875" style="0" customWidth="1"/>
    <col min="3" max="3" width="14.57421875" style="0" customWidth="1"/>
    <col min="4" max="4" width="14.421875" style="0" customWidth="1"/>
    <col min="5" max="5" width="8.7109375" style="0" customWidth="1"/>
    <col min="6" max="6" width="14.28125" style="0" customWidth="1"/>
    <col min="7" max="7" width="14.00390625" style="0" customWidth="1"/>
    <col min="8" max="8" width="9.57421875" style="0" customWidth="1"/>
  </cols>
  <sheetData>
    <row r="1" ht="15" hidden="1"/>
    <row r="2" spans="1:8" ht="18">
      <c r="A2" s="81" t="s">
        <v>0</v>
      </c>
      <c r="B2" s="81"/>
      <c r="C2" s="81"/>
      <c r="D2" s="81"/>
      <c r="E2" s="81"/>
      <c r="F2" s="81"/>
      <c r="G2" s="81"/>
      <c r="H2" s="81"/>
    </row>
    <row r="3" spans="1:8" ht="18">
      <c r="A3" s="81" t="s">
        <v>1</v>
      </c>
      <c r="B3" s="81"/>
      <c r="C3" s="81"/>
      <c r="D3" s="81"/>
      <c r="E3" s="81"/>
      <c r="F3" s="81"/>
      <c r="G3" s="81"/>
      <c r="H3" s="81"/>
    </row>
    <row r="4" spans="1:8" ht="18">
      <c r="A4" s="81" t="s">
        <v>2</v>
      </c>
      <c r="B4" s="81"/>
      <c r="C4" s="81"/>
      <c r="D4" s="81"/>
      <c r="E4" s="81"/>
      <c r="F4" s="81"/>
      <c r="G4" s="81"/>
      <c r="H4" s="81"/>
    </row>
    <row r="5" spans="1:8" ht="18">
      <c r="A5" s="82" t="s">
        <v>108</v>
      </c>
      <c r="B5" s="82"/>
      <c r="C5" s="82"/>
      <c r="D5" s="82"/>
      <c r="E5" s="82"/>
      <c r="F5" s="82"/>
      <c r="G5" s="82"/>
      <c r="H5" s="82"/>
    </row>
    <row r="6" spans="1:8" ht="16.5" thickBot="1">
      <c r="A6" s="1"/>
      <c r="B6" s="1" t="s">
        <v>3</v>
      </c>
      <c r="C6" s="1"/>
      <c r="D6" s="1"/>
      <c r="E6" s="83"/>
      <c r="F6" s="83"/>
      <c r="G6" s="84" t="s">
        <v>4</v>
      </c>
      <c r="H6" s="84"/>
    </row>
    <row r="7" spans="1:8" ht="15.75">
      <c r="A7" s="2"/>
      <c r="B7" s="63" t="s">
        <v>5</v>
      </c>
      <c r="C7" s="65" t="s">
        <v>6</v>
      </c>
      <c r="D7" s="66"/>
      <c r="E7" s="67"/>
      <c r="F7" s="68" t="s">
        <v>7</v>
      </c>
      <c r="G7" s="66"/>
      <c r="H7" s="67"/>
    </row>
    <row r="8" spans="1:8" ht="47.25">
      <c r="A8" s="3"/>
      <c r="B8" s="64"/>
      <c r="C8" s="4" t="s">
        <v>104</v>
      </c>
      <c r="D8" s="4" t="s">
        <v>8</v>
      </c>
      <c r="E8" s="5" t="s">
        <v>9</v>
      </c>
      <c r="F8" s="6" t="s">
        <v>105</v>
      </c>
      <c r="G8" s="4" t="s">
        <v>8</v>
      </c>
      <c r="H8" s="5" t="s">
        <v>9</v>
      </c>
    </row>
    <row r="9" spans="1:8" ht="15.75">
      <c r="A9" s="7"/>
      <c r="B9" s="8" t="s">
        <v>10</v>
      </c>
      <c r="C9" s="9">
        <f>C78+C81</f>
        <v>1092851</v>
      </c>
      <c r="D9" s="9">
        <f>D73</f>
        <v>743098.26</v>
      </c>
      <c r="E9" s="10">
        <f>D9/C9</f>
        <v>0.6799630141711908</v>
      </c>
      <c r="F9" s="9">
        <f>F73</f>
        <v>1081608</v>
      </c>
      <c r="G9" s="9">
        <f>G73</f>
        <v>654089.682</v>
      </c>
      <c r="H9" s="11">
        <f>G9/F9</f>
        <v>0.6047382064481772</v>
      </c>
    </row>
    <row r="10" spans="1:8" ht="15.75">
      <c r="A10" s="69" t="s">
        <v>97</v>
      </c>
      <c r="B10" s="70"/>
      <c r="C10" s="70"/>
      <c r="D10" s="70"/>
      <c r="E10" s="70"/>
      <c r="F10" s="70"/>
      <c r="G10" s="70"/>
      <c r="H10" s="71"/>
    </row>
    <row r="11" spans="1:8" ht="48" customHeight="1">
      <c r="A11" s="12">
        <v>1</v>
      </c>
      <c r="B11" s="13" t="s">
        <v>11</v>
      </c>
      <c r="C11" s="14">
        <v>200000</v>
      </c>
      <c r="D11" s="14">
        <v>107138.659</v>
      </c>
      <c r="E11" s="14">
        <f>D11/C11*100</f>
        <v>53.569329499999995</v>
      </c>
      <c r="F11" s="14">
        <v>720447</v>
      </c>
      <c r="G11" s="14">
        <v>422314.183</v>
      </c>
      <c r="H11" s="14">
        <f>G11/F11*100</f>
        <v>58.61835540990524</v>
      </c>
    </row>
    <row r="12" spans="1:8" ht="49.5" customHeight="1" hidden="1">
      <c r="A12" s="72"/>
      <c r="B12" s="15" t="s">
        <v>12</v>
      </c>
      <c r="C12" s="16">
        <f>46000-6000</f>
        <v>40000</v>
      </c>
      <c r="D12" s="17">
        <f>1262.951+4000.198+0.03+3905.195+13.583+2868.789</f>
        <v>12050.746000000001</v>
      </c>
      <c r="E12" s="14">
        <f aca="true" t="shared" si="0" ref="E12:E61">D12/C12*100</f>
        <v>30.126865000000002</v>
      </c>
      <c r="F12" s="16">
        <f>114472</f>
        <v>114472</v>
      </c>
      <c r="G12" s="16">
        <f>40891.3</f>
        <v>40891.3</v>
      </c>
      <c r="H12" s="17">
        <f>G12/F12*100</f>
        <v>35.721661192256626</v>
      </c>
    </row>
    <row r="13" spans="1:8" ht="51" customHeight="1" hidden="1">
      <c r="A13" s="72"/>
      <c r="B13" s="18" t="s">
        <v>13</v>
      </c>
      <c r="C13" s="16">
        <v>3000</v>
      </c>
      <c r="D13" s="17">
        <f>364.406+340.486+60.448</f>
        <v>765.34</v>
      </c>
      <c r="E13" s="14">
        <f t="shared" si="0"/>
        <v>25.511333333333337</v>
      </c>
      <c r="F13" s="14"/>
      <c r="G13" s="24"/>
      <c r="H13" s="19"/>
    </row>
    <row r="14" spans="1:8" ht="49.5" customHeight="1" hidden="1">
      <c r="A14" s="72"/>
      <c r="B14" s="18" t="s">
        <v>14</v>
      </c>
      <c r="C14" s="17">
        <f>232.5</f>
        <v>232.5</v>
      </c>
      <c r="D14" s="17">
        <v>130.256</v>
      </c>
      <c r="E14" s="14">
        <f t="shared" si="0"/>
        <v>56.02408602150538</v>
      </c>
      <c r="F14" s="16">
        <v>930</v>
      </c>
      <c r="G14" s="16">
        <f>548.769</f>
        <v>548.769</v>
      </c>
      <c r="H14" s="17">
        <f>G14/F14*100</f>
        <v>59.00741935483871</v>
      </c>
    </row>
    <row r="15" spans="1:8" ht="33" customHeight="1" hidden="1">
      <c r="A15" s="72"/>
      <c r="B15" s="18" t="s">
        <v>15</v>
      </c>
      <c r="C15" s="17">
        <f>C16+C17</f>
        <v>169660.68300000002</v>
      </c>
      <c r="D15" s="17">
        <f>D16+D17</f>
        <v>51420.714</v>
      </c>
      <c r="E15" s="14">
        <f t="shared" si="0"/>
        <v>30.307973002796405</v>
      </c>
      <c r="F15" s="17">
        <f>F16+F17</f>
        <v>559370</v>
      </c>
      <c r="G15" s="17">
        <f>G16+G17</f>
        <v>208307.511</v>
      </c>
      <c r="H15" s="17">
        <f>G15/F15*100</f>
        <v>37.23966444392799</v>
      </c>
    </row>
    <row r="16" spans="1:8" ht="32.25" customHeight="1" hidden="1">
      <c r="A16" s="72"/>
      <c r="B16" s="18" t="s">
        <v>16</v>
      </c>
      <c r="C16" s="14">
        <f>400+182089.317-54654.317-60</f>
        <v>127775</v>
      </c>
      <c r="D16" s="19">
        <f>367.635+37906.82</f>
        <v>38274.455</v>
      </c>
      <c r="E16" s="14">
        <f t="shared" si="0"/>
        <v>29.954572490706322</v>
      </c>
      <c r="F16" s="14">
        <f>559370-F17</f>
        <v>390770</v>
      </c>
      <c r="G16" s="19">
        <f>1300+160449.886</f>
        <v>161749.886</v>
      </c>
      <c r="H16" s="19">
        <f aca="true" t="shared" si="1" ref="H16:H21">G16/F16*100</f>
        <v>41.39260588069709</v>
      </c>
    </row>
    <row r="17" spans="1:8" ht="17.25" customHeight="1" hidden="1">
      <c r="A17" s="72"/>
      <c r="B17" s="18" t="s">
        <v>17</v>
      </c>
      <c r="C17" s="14">
        <f>85285.683-C12-C13-C21</f>
        <v>41885.683000000005</v>
      </c>
      <c r="D17" s="19">
        <f>5544.835+3882.624+3718.8</f>
        <v>13146.258999999998</v>
      </c>
      <c r="E17" s="14">
        <f t="shared" si="0"/>
        <v>31.386044248102618</v>
      </c>
      <c r="F17" s="16">
        <v>168600</v>
      </c>
      <c r="G17" s="19">
        <f>46557.625</f>
        <v>46557.625</v>
      </c>
      <c r="H17" s="19">
        <f t="shared" si="1"/>
        <v>27.614249703440098</v>
      </c>
    </row>
    <row r="18" spans="1:8" ht="46.5" customHeight="1" hidden="1">
      <c r="A18" s="72"/>
      <c r="B18" s="18" t="s">
        <v>18</v>
      </c>
      <c r="C18" s="16">
        <f>C20+C21</f>
        <v>2400</v>
      </c>
      <c r="D18" s="16">
        <f>D20+D21</f>
        <v>516.723</v>
      </c>
      <c r="E18" s="14">
        <f t="shared" si="0"/>
        <v>21.530124999999998</v>
      </c>
      <c r="F18" s="16">
        <f>F20+F21</f>
        <v>40512</v>
      </c>
      <c r="G18" s="16">
        <f>G20+G21</f>
        <v>9741.972</v>
      </c>
      <c r="H18" s="19">
        <f t="shared" si="1"/>
        <v>24.047126777251187</v>
      </c>
    </row>
    <row r="19" spans="1:8" ht="18.75" customHeight="1" hidden="1">
      <c r="A19" s="72"/>
      <c r="B19" s="20" t="s">
        <v>19</v>
      </c>
      <c r="C19" s="14"/>
      <c r="D19" s="14"/>
      <c r="E19" s="14" t="e">
        <f t="shared" si="0"/>
        <v>#DIV/0!</v>
      </c>
      <c r="F19" s="16"/>
      <c r="G19" s="16"/>
      <c r="H19" s="19"/>
    </row>
    <row r="20" spans="1:8" ht="46.5" customHeight="1" hidden="1">
      <c r="A20" s="72"/>
      <c r="B20" s="18" t="s">
        <v>20</v>
      </c>
      <c r="C20" s="14">
        <v>2000</v>
      </c>
      <c r="D20" s="19">
        <f>384.999</f>
        <v>384.999</v>
      </c>
      <c r="E20" s="14">
        <f t="shared" si="0"/>
        <v>19.249950000000002</v>
      </c>
      <c r="F20" s="16">
        <f>40512-F21</f>
        <v>30512</v>
      </c>
      <c r="G20" s="16">
        <f>9741.972-G21</f>
        <v>7121.665</v>
      </c>
      <c r="H20" s="19">
        <f t="shared" si="1"/>
        <v>23.340538148925013</v>
      </c>
    </row>
    <row r="21" spans="1:8" ht="50.25" customHeight="1" hidden="1">
      <c r="A21" s="72"/>
      <c r="B21" s="18" t="s">
        <v>21</v>
      </c>
      <c r="C21" s="14">
        <v>400</v>
      </c>
      <c r="D21" s="19">
        <f>63.558+10.331+7.041+50.794</f>
        <v>131.724</v>
      </c>
      <c r="E21" s="14">
        <f t="shared" si="0"/>
        <v>32.931</v>
      </c>
      <c r="F21" s="16">
        <v>10000</v>
      </c>
      <c r="G21" s="16">
        <f>1870.316+749.991</f>
        <v>2620.307</v>
      </c>
      <c r="H21" s="19">
        <f t="shared" si="1"/>
        <v>26.20307</v>
      </c>
    </row>
    <row r="22" spans="1:8" ht="51.75" customHeight="1">
      <c r="A22" s="12">
        <v>2</v>
      </c>
      <c r="B22" s="21" t="s">
        <v>22</v>
      </c>
      <c r="C22" s="14">
        <v>15000</v>
      </c>
      <c r="D22" s="14">
        <v>8114.927</v>
      </c>
      <c r="E22" s="14">
        <f t="shared" si="0"/>
        <v>54.09951333333333</v>
      </c>
      <c r="F22" s="14"/>
      <c r="G22" s="14"/>
      <c r="H22" s="14"/>
    </row>
    <row r="23" spans="1:8" ht="15.75" hidden="1">
      <c r="A23" s="12"/>
      <c r="B23" s="22" t="s">
        <v>23</v>
      </c>
      <c r="C23" s="14">
        <v>7000</v>
      </c>
      <c r="D23" s="14">
        <f>5292.305</f>
        <v>5292.305</v>
      </c>
      <c r="E23" s="19">
        <f t="shared" si="0"/>
        <v>75.60435714285715</v>
      </c>
      <c r="F23" s="14"/>
      <c r="G23" s="14"/>
      <c r="H23" s="14"/>
    </row>
    <row r="24" spans="1:8" ht="15.75" hidden="1">
      <c r="A24" s="12"/>
      <c r="B24" s="22" t="s">
        <v>24</v>
      </c>
      <c r="C24" s="14">
        <f>2000+1000</f>
        <v>3000</v>
      </c>
      <c r="D24" s="14">
        <v>1999.792</v>
      </c>
      <c r="E24" s="19">
        <f t="shared" si="0"/>
        <v>66.65973333333332</v>
      </c>
      <c r="F24" s="14"/>
      <c r="G24" s="14"/>
      <c r="H24" s="14"/>
    </row>
    <row r="25" spans="1:8" ht="143.25" customHeight="1">
      <c r="A25" s="12">
        <v>3</v>
      </c>
      <c r="B25" s="23" t="s">
        <v>25</v>
      </c>
      <c r="C25" s="14">
        <v>10000</v>
      </c>
      <c r="D25" s="14">
        <v>4904.836</v>
      </c>
      <c r="E25" s="14">
        <f>D25/C25*100</f>
        <v>49.04836</v>
      </c>
      <c r="F25" s="14"/>
      <c r="G25" s="14"/>
      <c r="H25" s="14"/>
    </row>
    <row r="26" spans="1:8" ht="47.25" hidden="1">
      <c r="A26" s="12" t="s">
        <v>26</v>
      </c>
      <c r="B26" s="20" t="s">
        <v>27</v>
      </c>
      <c r="C26" s="14">
        <v>2000</v>
      </c>
      <c r="D26" s="19">
        <f>357.431+577.067</f>
        <v>934.498</v>
      </c>
      <c r="E26" s="19">
        <f t="shared" si="0"/>
        <v>46.724900000000005</v>
      </c>
      <c r="F26" s="14"/>
      <c r="G26" s="24"/>
      <c r="H26" s="24"/>
    </row>
    <row r="27" spans="1:8" ht="94.5" hidden="1">
      <c r="A27" s="12" t="s">
        <v>28</v>
      </c>
      <c r="B27" s="20" t="s">
        <v>29</v>
      </c>
      <c r="C27" s="14">
        <v>28987.4</v>
      </c>
      <c r="D27" s="19">
        <v>0</v>
      </c>
      <c r="E27" s="19">
        <f t="shared" si="0"/>
        <v>0</v>
      </c>
      <c r="F27" s="14"/>
      <c r="G27" s="24"/>
      <c r="H27" s="24"/>
    </row>
    <row r="28" spans="1:8" ht="63">
      <c r="A28" s="12">
        <v>4</v>
      </c>
      <c r="B28" s="23" t="s">
        <v>30</v>
      </c>
      <c r="C28" s="14">
        <v>153000</v>
      </c>
      <c r="D28" s="14">
        <v>112990.051</v>
      </c>
      <c r="E28" s="14">
        <f>D28/C28*100</f>
        <v>73.84970653594772</v>
      </c>
      <c r="F28" s="14">
        <v>149822</v>
      </c>
      <c r="G28" s="14">
        <v>142321.499</v>
      </c>
      <c r="H28" s="14">
        <f>G28/F28*100</f>
        <v>94.99372522059511</v>
      </c>
    </row>
    <row r="29" spans="1:8" ht="34.5" customHeight="1" hidden="1">
      <c r="A29" s="12" t="s">
        <v>31</v>
      </c>
      <c r="B29" s="20" t="s">
        <v>32</v>
      </c>
      <c r="C29" s="14">
        <f>100+15400+10000</f>
        <v>25500</v>
      </c>
      <c r="D29" s="19">
        <f>1392.375</f>
        <v>1392.375</v>
      </c>
      <c r="E29" s="19">
        <f t="shared" si="0"/>
        <v>5.460294117647059</v>
      </c>
      <c r="F29" s="14">
        <v>12808</v>
      </c>
      <c r="G29" s="19">
        <f>991.768</f>
        <v>991.768</v>
      </c>
      <c r="H29" s="19">
        <f>G29/F29*100</f>
        <v>7.7433479075577765</v>
      </c>
    </row>
    <row r="30" spans="1:8" ht="17.25" customHeight="1" hidden="1">
      <c r="A30" s="12" t="s">
        <v>33</v>
      </c>
      <c r="B30" s="20" t="s">
        <v>34</v>
      </c>
      <c r="C30" s="14">
        <f>1069.2+160+1780+10840+22036.7+614.1+19500+500</f>
        <v>56500</v>
      </c>
      <c r="D30" s="19">
        <f>1069.2+160+6853.447+20684.922+614</f>
        <v>29381.569</v>
      </c>
      <c r="E30" s="19">
        <f t="shared" si="0"/>
        <v>52.00277699115045</v>
      </c>
      <c r="F30" s="14">
        <v>119671</v>
      </c>
      <c r="G30" s="19">
        <f>1175+118496</f>
        <v>119671</v>
      </c>
      <c r="H30" s="19">
        <f>G30/F30*100</f>
        <v>100</v>
      </c>
    </row>
    <row r="31" spans="1:8" ht="18" customHeight="1" hidden="1">
      <c r="A31" s="12" t="s">
        <v>35</v>
      </c>
      <c r="B31" s="20" t="s">
        <v>36</v>
      </c>
      <c r="C31" s="14">
        <f>700</f>
        <v>700</v>
      </c>
      <c r="D31" s="19"/>
      <c r="E31" s="19">
        <f t="shared" si="0"/>
        <v>0</v>
      </c>
      <c r="F31" s="14">
        <v>2089</v>
      </c>
      <c r="G31" s="58"/>
      <c r="H31" s="19">
        <f>G31/F31*100</f>
        <v>0</v>
      </c>
    </row>
    <row r="32" spans="1:8" ht="19.5" customHeight="1" hidden="1">
      <c r="A32" s="12" t="s">
        <v>37</v>
      </c>
      <c r="B32" s="20" t="s">
        <v>38</v>
      </c>
      <c r="C32" s="14">
        <f>3000</f>
        <v>3000</v>
      </c>
      <c r="D32" s="19"/>
      <c r="E32" s="19">
        <f t="shared" si="0"/>
        <v>0</v>
      </c>
      <c r="F32" s="14"/>
      <c r="G32" s="24"/>
      <c r="H32" s="19"/>
    </row>
    <row r="33" spans="1:8" ht="63">
      <c r="A33" s="12">
        <v>5</v>
      </c>
      <c r="B33" s="23" t="s">
        <v>39</v>
      </c>
      <c r="C33" s="25">
        <v>70035</v>
      </c>
      <c r="D33" s="25">
        <v>60131.585</v>
      </c>
      <c r="E33" s="14">
        <f>D33/C33*100</f>
        <v>85.85933461840509</v>
      </c>
      <c r="F33" s="25">
        <v>232</v>
      </c>
      <c r="G33" s="25">
        <v>0</v>
      </c>
      <c r="H33" s="26">
        <f>G33/F33*100</f>
        <v>0</v>
      </c>
    </row>
    <row r="34" spans="1:8" ht="32.25" customHeight="1" hidden="1">
      <c r="A34" s="27" t="s">
        <v>40</v>
      </c>
      <c r="B34" s="18" t="s">
        <v>41</v>
      </c>
      <c r="C34" s="14">
        <f>1000+1000+2000+1000+1000</f>
        <v>6000</v>
      </c>
      <c r="D34" s="19"/>
      <c r="E34" s="19">
        <f>D34/C34*100</f>
        <v>0</v>
      </c>
      <c r="F34" s="14"/>
      <c r="G34" s="24"/>
      <c r="H34" s="24"/>
    </row>
    <row r="35" spans="1:8" ht="50.25" customHeight="1" hidden="1">
      <c r="A35" s="27"/>
      <c r="B35" s="18" t="s">
        <v>42</v>
      </c>
      <c r="C35" s="14">
        <v>13.1</v>
      </c>
      <c r="D35" s="19">
        <f>13.05</f>
        <v>13.05</v>
      </c>
      <c r="E35" s="19">
        <f>D35/C35*100</f>
        <v>99.61832061068702</v>
      </c>
      <c r="F35" s="14"/>
      <c r="G35" s="24"/>
      <c r="H35" s="24"/>
    </row>
    <row r="36" spans="1:8" ht="32.25" customHeight="1" hidden="1">
      <c r="A36" s="12" t="s">
        <v>43</v>
      </c>
      <c r="B36" s="20" t="s">
        <v>44</v>
      </c>
      <c r="C36" s="14">
        <f>100</f>
        <v>100</v>
      </c>
      <c r="D36" s="19"/>
      <c r="E36" s="19">
        <f t="shared" si="0"/>
        <v>0</v>
      </c>
      <c r="F36" s="14">
        <v>305</v>
      </c>
      <c r="G36" s="24"/>
      <c r="H36" s="19"/>
    </row>
    <row r="37" spans="1:8" ht="62.25" customHeight="1">
      <c r="A37" s="12">
        <v>6</v>
      </c>
      <c r="B37" s="23" t="s">
        <v>45</v>
      </c>
      <c r="C37" s="25">
        <v>226965</v>
      </c>
      <c r="D37" s="25">
        <v>208523.559</v>
      </c>
      <c r="E37" s="14">
        <f>D37/C37*100</f>
        <v>91.87476439098539</v>
      </c>
      <c r="F37" s="25">
        <v>68867</v>
      </c>
      <c r="G37" s="25">
        <v>61804</v>
      </c>
      <c r="H37" s="14">
        <f>G37/F37*100</f>
        <v>89.74399930300434</v>
      </c>
    </row>
    <row r="38" spans="1:8" ht="30" customHeight="1" hidden="1">
      <c r="A38" s="12" t="s">
        <v>46</v>
      </c>
      <c r="B38" s="20" t="s">
        <v>47</v>
      </c>
      <c r="C38" s="14">
        <f>751+630.88+9.6+215.761+22.712+22.549+123.136+6.72+78.96+15.331+123.351</f>
        <v>2000</v>
      </c>
      <c r="D38" s="19">
        <f>751</f>
        <v>751</v>
      </c>
      <c r="E38" s="19">
        <f t="shared" si="0"/>
        <v>37.55</v>
      </c>
      <c r="F38" s="14"/>
      <c r="G38" s="24"/>
      <c r="H38" s="19"/>
    </row>
    <row r="39" spans="1:8" ht="45.75" customHeight="1" hidden="1">
      <c r="A39" s="28" t="s">
        <v>48</v>
      </c>
      <c r="B39" s="20" t="s">
        <v>49</v>
      </c>
      <c r="C39" s="14">
        <f>122351.517</f>
        <v>122351.517</v>
      </c>
      <c r="D39" s="19">
        <f>122351.517</f>
        <v>122351.517</v>
      </c>
      <c r="E39" s="19">
        <f t="shared" si="0"/>
        <v>100</v>
      </c>
      <c r="F39" s="14"/>
      <c r="G39" s="24"/>
      <c r="H39" s="19"/>
    </row>
    <row r="40" spans="1:8" ht="31.5" hidden="1">
      <c r="A40" s="28" t="s">
        <v>50</v>
      </c>
      <c r="B40" s="20" t="s">
        <v>51</v>
      </c>
      <c r="C40" s="14">
        <f>425.8+12859.883+6654.317+60</f>
        <v>20000</v>
      </c>
      <c r="D40" s="19"/>
      <c r="E40" s="19">
        <f t="shared" si="0"/>
        <v>0</v>
      </c>
      <c r="F40" s="14"/>
      <c r="G40" s="19"/>
      <c r="H40" s="19"/>
    </row>
    <row r="41" spans="1:8" ht="15.75" hidden="1">
      <c r="A41" s="12" t="s">
        <v>50</v>
      </c>
      <c r="B41" s="20" t="s">
        <v>52</v>
      </c>
      <c r="C41" s="14"/>
      <c r="D41" s="24"/>
      <c r="E41" s="19"/>
      <c r="F41" s="14"/>
      <c r="G41" s="58"/>
      <c r="H41" s="19"/>
    </row>
    <row r="42" spans="1:8" ht="31.5" hidden="1">
      <c r="A42" s="12" t="s">
        <v>53</v>
      </c>
      <c r="B42" s="20" t="s">
        <v>54</v>
      </c>
      <c r="C42" s="14">
        <f>1886</f>
        <v>1886</v>
      </c>
      <c r="D42" s="14"/>
      <c r="E42" s="19">
        <f t="shared" si="0"/>
        <v>0</v>
      </c>
      <c r="F42" s="14">
        <f>33627+2207</f>
        <v>35834</v>
      </c>
      <c r="G42" s="19"/>
      <c r="H42" s="19">
        <f>G42/F42*100</f>
        <v>0</v>
      </c>
    </row>
    <row r="43" spans="1:8" ht="31.5" hidden="1">
      <c r="A43" s="12" t="s">
        <v>55</v>
      </c>
      <c r="B43" s="20" t="s">
        <v>56</v>
      </c>
      <c r="C43" s="14">
        <v>200</v>
      </c>
      <c r="D43" s="19">
        <f>35+35</f>
        <v>70</v>
      </c>
      <c r="E43" s="19">
        <f t="shared" si="0"/>
        <v>35</v>
      </c>
      <c r="F43" s="14"/>
      <c r="G43" s="24"/>
      <c r="H43" s="19"/>
    </row>
    <row r="44" spans="1:8" ht="47.25" hidden="1">
      <c r="A44" s="12" t="s">
        <v>57</v>
      </c>
      <c r="B44" s="20" t="s">
        <v>58</v>
      </c>
      <c r="C44" s="14">
        <f>22900</f>
        <v>22900</v>
      </c>
      <c r="D44" s="19"/>
      <c r="E44" s="19">
        <f t="shared" si="0"/>
        <v>0</v>
      </c>
      <c r="F44" s="14"/>
      <c r="G44" s="24"/>
      <c r="H44" s="19"/>
    </row>
    <row r="45" spans="1:8" ht="47.25" hidden="1">
      <c r="A45" s="12" t="s">
        <v>57</v>
      </c>
      <c r="B45" s="20" t="s">
        <v>59</v>
      </c>
      <c r="C45" s="14">
        <v>54900</v>
      </c>
      <c r="D45" s="19"/>
      <c r="E45" s="19">
        <f t="shared" si="0"/>
        <v>0</v>
      </c>
      <c r="F45" s="14"/>
      <c r="G45" s="24"/>
      <c r="H45" s="19"/>
    </row>
    <row r="46" spans="1:8" ht="78.75" hidden="1">
      <c r="A46" s="12" t="s">
        <v>57</v>
      </c>
      <c r="B46" s="20" t="s">
        <v>60</v>
      </c>
      <c r="C46" s="14">
        <f>319</f>
        <v>319</v>
      </c>
      <c r="D46" s="19">
        <v>308</v>
      </c>
      <c r="E46" s="19">
        <f t="shared" si="0"/>
        <v>96.55172413793103</v>
      </c>
      <c r="F46" s="14"/>
      <c r="G46" s="24"/>
      <c r="H46" s="19"/>
    </row>
    <row r="47" spans="1:8" ht="47.25" hidden="1">
      <c r="A47" s="12" t="s">
        <v>61</v>
      </c>
      <c r="B47" s="20" t="s">
        <v>62</v>
      </c>
      <c r="C47" s="14">
        <f>200+99.8</f>
        <v>299.8</v>
      </c>
      <c r="D47" s="19"/>
      <c r="E47" s="29">
        <f t="shared" si="0"/>
        <v>0</v>
      </c>
      <c r="F47" s="14">
        <v>464</v>
      </c>
      <c r="G47" s="24"/>
      <c r="H47" s="19">
        <f>G47/F47*100</f>
        <v>0</v>
      </c>
    </row>
    <row r="48" spans="1:8" ht="47.25" hidden="1">
      <c r="A48" s="12" t="s">
        <v>63</v>
      </c>
      <c r="B48" s="20" t="s">
        <v>64</v>
      </c>
      <c r="C48" s="14">
        <v>7000</v>
      </c>
      <c r="D48" s="14">
        <v>5396.92174</v>
      </c>
      <c r="E48" s="19">
        <f t="shared" si="0"/>
        <v>77.098882</v>
      </c>
      <c r="F48" s="14"/>
      <c r="G48" s="24"/>
      <c r="H48" s="19"/>
    </row>
    <row r="49" spans="1:8" ht="31.5" hidden="1">
      <c r="A49" s="12" t="s">
        <v>65</v>
      </c>
      <c r="B49" s="20" t="s">
        <v>66</v>
      </c>
      <c r="C49" s="14">
        <f>653.5+446.5+120+280+3500+1000+1000</f>
        <v>7000</v>
      </c>
      <c r="D49" s="19">
        <f>653.5+446.5+3361.3</f>
        <v>4461.3</v>
      </c>
      <c r="E49" s="19">
        <f t="shared" si="0"/>
        <v>63.73285714285715</v>
      </c>
      <c r="F49" s="14"/>
      <c r="G49" s="24"/>
      <c r="H49" s="19"/>
    </row>
    <row r="50" spans="1:8" ht="31.5" hidden="1">
      <c r="A50" s="12" t="s">
        <v>67</v>
      </c>
      <c r="B50" s="20" t="s">
        <v>68</v>
      </c>
      <c r="C50" s="14">
        <f>102+780+63+55-C43</f>
        <v>800</v>
      </c>
      <c r="D50" s="19">
        <f>37.76+190+55-D43</f>
        <v>212.76</v>
      </c>
      <c r="E50" s="19">
        <f t="shared" si="0"/>
        <v>26.594999999999995</v>
      </c>
      <c r="F50" s="14"/>
      <c r="G50" s="24"/>
      <c r="H50" s="19"/>
    </row>
    <row r="51" spans="1:8" ht="31.5">
      <c r="A51" s="12">
        <v>7</v>
      </c>
      <c r="B51" s="23" t="s">
        <v>107</v>
      </c>
      <c r="C51" s="14">
        <v>125000</v>
      </c>
      <c r="D51" s="14">
        <v>34733.943</v>
      </c>
      <c r="E51" s="14">
        <f>D51/C51*100</f>
        <v>27.7871544</v>
      </c>
      <c r="F51" s="14">
        <v>46250</v>
      </c>
      <c r="G51" s="14">
        <v>17650</v>
      </c>
      <c r="H51" s="14">
        <f>G51/F51*100</f>
        <v>38.16216216216216</v>
      </c>
    </row>
    <row r="52" spans="1:8" ht="31.5" hidden="1">
      <c r="A52" s="12" t="s">
        <v>69</v>
      </c>
      <c r="B52" s="20" t="s">
        <v>70</v>
      </c>
      <c r="C52" s="14">
        <v>1000</v>
      </c>
      <c r="D52" s="19"/>
      <c r="E52" s="19">
        <f t="shared" si="0"/>
        <v>0</v>
      </c>
      <c r="F52" s="14"/>
      <c r="G52" s="24"/>
      <c r="H52" s="14" t="e">
        <f aca="true" t="shared" si="2" ref="H52:H64">G52/F52*100</f>
        <v>#DIV/0!</v>
      </c>
    </row>
    <row r="53" spans="1:8" ht="63" hidden="1">
      <c r="A53" s="12" t="s">
        <v>71</v>
      </c>
      <c r="B53" s="20" t="s">
        <v>72</v>
      </c>
      <c r="C53" s="14">
        <f>2106.5</f>
        <v>2106.5</v>
      </c>
      <c r="D53" s="58"/>
      <c r="E53" s="19"/>
      <c r="F53" s="14"/>
      <c r="G53" s="24"/>
      <c r="H53" s="14" t="e">
        <f t="shared" si="2"/>
        <v>#DIV/0!</v>
      </c>
    </row>
    <row r="54" spans="1:8" ht="15.75" hidden="1">
      <c r="A54" s="27" t="s">
        <v>73</v>
      </c>
      <c r="B54" s="30" t="s">
        <v>74</v>
      </c>
      <c r="C54" s="14">
        <f>1000+24000+5000</f>
        <v>30000</v>
      </c>
      <c r="D54" s="19">
        <f>656.56+22618.394</f>
        <v>23274.954</v>
      </c>
      <c r="E54" s="19">
        <f t="shared" si="0"/>
        <v>77.58318000000001</v>
      </c>
      <c r="F54" s="14">
        <v>72690</v>
      </c>
      <c r="G54" s="58"/>
      <c r="H54" s="14">
        <f t="shared" si="2"/>
        <v>0</v>
      </c>
    </row>
    <row r="55" spans="1:8" ht="15.75" hidden="1">
      <c r="A55" s="12" t="s">
        <v>75</v>
      </c>
      <c r="B55" s="20" t="s">
        <v>76</v>
      </c>
      <c r="C55" s="14">
        <v>0</v>
      </c>
      <c r="D55" s="19"/>
      <c r="E55" s="19" t="e">
        <f t="shared" si="0"/>
        <v>#DIV/0!</v>
      </c>
      <c r="F55" s="14"/>
      <c r="G55" s="24"/>
      <c r="H55" s="14" t="e">
        <f t="shared" si="2"/>
        <v>#DIV/0!</v>
      </c>
    </row>
    <row r="56" spans="1:8" ht="63" hidden="1">
      <c r="A56" s="12" t="s">
        <v>77</v>
      </c>
      <c r="B56" s="20" t="s">
        <v>78</v>
      </c>
      <c r="C56" s="14">
        <f>1295+1205-C58-C52-99.8</f>
        <v>1300.0000000000002</v>
      </c>
      <c r="D56" s="14"/>
      <c r="E56" s="19">
        <f t="shared" si="0"/>
        <v>0</v>
      </c>
      <c r="F56" s="14">
        <f>30000+3000+4000</f>
        <v>37000</v>
      </c>
      <c r="G56" s="14">
        <v>0</v>
      </c>
      <c r="H56" s="14">
        <f t="shared" si="2"/>
        <v>0</v>
      </c>
    </row>
    <row r="57" spans="1:8" ht="31.5" hidden="1">
      <c r="A57" s="12" t="s">
        <v>79</v>
      </c>
      <c r="B57" s="20" t="s">
        <v>80</v>
      </c>
      <c r="C57" s="14"/>
      <c r="D57" s="14"/>
      <c r="E57" s="19"/>
      <c r="F57" s="14"/>
      <c r="G57" s="24"/>
      <c r="H57" s="14" t="e">
        <f t="shared" si="2"/>
        <v>#DIV/0!</v>
      </c>
    </row>
    <row r="58" spans="1:8" ht="110.25" hidden="1">
      <c r="A58" s="12" t="s">
        <v>81</v>
      </c>
      <c r="B58" s="20" t="s">
        <v>82</v>
      </c>
      <c r="C58" s="14">
        <f>200-99.8</f>
        <v>100.2</v>
      </c>
      <c r="D58" s="19"/>
      <c r="E58" s="19">
        <f t="shared" si="0"/>
        <v>0</v>
      </c>
      <c r="F58" s="14"/>
      <c r="G58" s="24"/>
      <c r="H58" s="14" t="e">
        <f t="shared" si="2"/>
        <v>#DIV/0!</v>
      </c>
    </row>
    <row r="59" spans="1:8" ht="47.25">
      <c r="A59" s="12">
        <v>8</v>
      </c>
      <c r="B59" s="23" t="s">
        <v>83</v>
      </c>
      <c r="C59" s="16">
        <v>200000</v>
      </c>
      <c r="D59" s="16">
        <v>200000</v>
      </c>
      <c r="E59" s="14">
        <f>D59/C59*100</f>
        <v>100</v>
      </c>
      <c r="F59" s="16"/>
      <c r="G59" s="16"/>
      <c r="H59" s="14"/>
    </row>
    <row r="60" spans="1:8" ht="31.5" hidden="1">
      <c r="A60" s="12" t="s">
        <v>84</v>
      </c>
      <c r="B60" s="20" t="s">
        <v>85</v>
      </c>
      <c r="C60" s="14"/>
      <c r="D60" s="19"/>
      <c r="E60" s="19" t="e">
        <f t="shared" si="0"/>
        <v>#DIV/0!</v>
      </c>
      <c r="F60" s="14"/>
      <c r="G60" s="24"/>
      <c r="H60" s="14" t="e">
        <f t="shared" si="2"/>
        <v>#DIV/0!</v>
      </c>
    </row>
    <row r="61" spans="1:8" ht="47.25" hidden="1">
      <c r="A61" s="12" t="s">
        <v>86</v>
      </c>
      <c r="B61" s="20" t="s">
        <v>87</v>
      </c>
      <c r="C61" s="14"/>
      <c r="D61" s="19"/>
      <c r="E61" s="19" t="e">
        <f t="shared" si="0"/>
        <v>#DIV/0!</v>
      </c>
      <c r="F61" s="14"/>
      <c r="G61" s="24"/>
      <c r="H61" s="14" t="e">
        <f t="shared" si="2"/>
        <v>#DIV/0!</v>
      </c>
    </row>
    <row r="62" spans="1:8" ht="15.75" hidden="1">
      <c r="A62" s="12"/>
      <c r="B62" s="20"/>
      <c r="C62" s="14"/>
      <c r="D62" s="24"/>
      <c r="E62" s="19"/>
      <c r="F62" s="14"/>
      <c r="G62" s="24"/>
      <c r="H62" s="14" t="e">
        <f t="shared" si="2"/>
        <v>#DIV/0!</v>
      </c>
    </row>
    <row r="63" spans="1:8" ht="31.5" hidden="1">
      <c r="A63" s="12"/>
      <c r="B63" s="31" t="s">
        <v>88</v>
      </c>
      <c r="C63" s="14"/>
      <c r="D63" s="24"/>
      <c r="E63" s="19"/>
      <c r="F63" s="14"/>
      <c r="G63" s="14"/>
      <c r="H63" s="14" t="e">
        <f t="shared" si="2"/>
        <v>#DIV/0!</v>
      </c>
    </row>
    <row r="64" spans="1:8" ht="15.75" hidden="1">
      <c r="A64" s="12"/>
      <c r="B64" s="32"/>
      <c r="C64" s="14"/>
      <c r="D64" s="24"/>
      <c r="E64" s="19"/>
      <c r="F64" s="14"/>
      <c r="G64" s="24"/>
      <c r="H64" s="14" t="e">
        <f t="shared" si="2"/>
        <v>#DIV/0!</v>
      </c>
    </row>
    <row r="65" spans="1:8" ht="15.75" hidden="1">
      <c r="A65" s="12" t="s">
        <v>84</v>
      </c>
      <c r="B65" s="32" t="s">
        <v>99</v>
      </c>
      <c r="C65" s="14"/>
      <c r="D65" s="24"/>
      <c r="E65" s="19"/>
      <c r="F65" s="14">
        <v>0</v>
      </c>
      <c r="G65" s="24">
        <v>0</v>
      </c>
      <c r="H65" s="14">
        <v>0</v>
      </c>
    </row>
    <row r="66" spans="1:8" ht="26.25" customHeight="1">
      <c r="A66" s="12"/>
      <c r="B66" s="43" t="s">
        <v>89</v>
      </c>
      <c r="C66" s="16">
        <v>53228</v>
      </c>
      <c r="D66" s="16">
        <v>6560.7</v>
      </c>
      <c r="E66" s="14">
        <f aca="true" t="shared" si="3" ref="E66:E71">D66/C66*100</f>
        <v>12.325655669948148</v>
      </c>
      <c r="F66" s="16">
        <v>95990</v>
      </c>
      <c r="G66" s="16">
        <v>10000</v>
      </c>
      <c r="H66" s="14">
        <f>G66/F66*100</f>
        <v>10.417751849150953</v>
      </c>
    </row>
    <row r="67" spans="1:8" ht="15.75" hidden="1">
      <c r="A67" s="12">
        <v>9</v>
      </c>
      <c r="B67" s="18" t="s">
        <v>90</v>
      </c>
      <c r="C67" s="33">
        <f>12000+15700</f>
        <v>27700</v>
      </c>
      <c r="D67" s="19">
        <f>4077.4+7973.8</f>
        <v>12051.2</v>
      </c>
      <c r="E67" s="14">
        <f t="shared" si="3"/>
        <v>43.50613718411553</v>
      </c>
      <c r="F67" s="34"/>
      <c r="G67" s="24"/>
      <c r="H67" s="14" t="e">
        <f>G67/F67*100</f>
        <v>#DIV/0!</v>
      </c>
    </row>
    <row r="68" spans="1:8" ht="31.5" hidden="1">
      <c r="A68" s="12">
        <v>9</v>
      </c>
      <c r="B68" s="18" t="s">
        <v>91</v>
      </c>
      <c r="C68" s="33">
        <f>9000+20000</f>
        <v>29000</v>
      </c>
      <c r="D68" s="19">
        <f>8500+3500</f>
        <v>12000</v>
      </c>
      <c r="E68" s="14">
        <f t="shared" si="3"/>
        <v>41.37931034482759</v>
      </c>
      <c r="F68" s="33"/>
      <c r="G68" s="60"/>
      <c r="H68" s="14" t="e">
        <f>G68/F68*100</f>
        <v>#DIV/0!</v>
      </c>
    </row>
    <row r="69" spans="1:8" ht="15.75" hidden="1">
      <c r="A69" s="12">
        <v>9</v>
      </c>
      <c r="B69" s="35" t="s">
        <v>92</v>
      </c>
      <c r="C69" s="34"/>
      <c r="D69" s="24"/>
      <c r="E69" s="14" t="e">
        <f t="shared" si="3"/>
        <v>#DIV/0!</v>
      </c>
      <c r="F69" s="33"/>
      <c r="G69" s="60"/>
      <c r="H69" s="14" t="e">
        <f>G69/F69*100</f>
        <v>#DIV/0!</v>
      </c>
    </row>
    <row r="70" spans="1:8" ht="47.25" hidden="1">
      <c r="A70" s="12">
        <v>10</v>
      </c>
      <c r="B70" s="35" t="s">
        <v>93</v>
      </c>
      <c r="C70" s="34">
        <v>66289</v>
      </c>
      <c r="D70" s="24">
        <v>37005.95</v>
      </c>
      <c r="E70" s="14">
        <f t="shared" si="3"/>
        <v>55.82517461418938</v>
      </c>
      <c r="F70" s="33"/>
      <c r="G70" s="60"/>
      <c r="H70" s="19"/>
    </row>
    <row r="71" spans="1:8" ht="47.25" hidden="1">
      <c r="A71" s="36">
        <v>11</v>
      </c>
      <c r="B71" s="13" t="s">
        <v>93</v>
      </c>
      <c r="C71" s="14">
        <v>66289</v>
      </c>
      <c r="D71" s="19">
        <f>25842.43</f>
        <v>25842.43</v>
      </c>
      <c r="E71" s="19">
        <f t="shared" si="3"/>
        <v>38.984492148018525</v>
      </c>
      <c r="F71" s="34"/>
      <c r="G71" s="24"/>
      <c r="H71" s="24"/>
    </row>
    <row r="72" spans="1:8" ht="47.25" hidden="1">
      <c r="A72" s="36"/>
      <c r="B72" s="46" t="s">
        <v>101</v>
      </c>
      <c r="C72" s="14">
        <v>0</v>
      </c>
      <c r="D72" s="19">
        <v>0</v>
      </c>
      <c r="E72" s="19">
        <v>100</v>
      </c>
      <c r="F72" s="34"/>
      <c r="G72" s="24"/>
      <c r="H72" s="24"/>
    </row>
    <row r="73" spans="1:8" ht="15.75">
      <c r="A73" s="37"/>
      <c r="B73" s="44" t="s">
        <v>98</v>
      </c>
      <c r="C73" s="45">
        <f>C74+C75</f>
        <v>1053228</v>
      </c>
      <c r="D73" s="45">
        <f>D74+D75</f>
        <v>743098.26</v>
      </c>
      <c r="E73" s="45">
        <f>D73/C73*100</f>
        <v>70.554358600417</v>
      </c>
      <c r="F73" s="45">
        <f>F11+F22+F25+F28+F33+F37+F51+F59+F66</f>
        <v>1081608</v>
      </c>
      <c r="G73" s="45">
        <f>G11+G28+G33+G37+G51+G65+G66</f>
        <v>654089.682</v>
      </c>
      <c r="H73" s="45">
        <f aca="true" t="shared" si="4" ref="H73:H78">G73/F73*100</f>
        <v>60.47382064481772</v>
      </c>
    </row>
    <row r="74" spans="1:8" ht="15.75">
      <c r="A74" s="38"/>
      <c r="B74" s="39" t="s">
        <v>95</v>
      </c>
      <c r="C74" s="40">
        <f>C11+C22+C25+C28+C33+C37+C51+C59</f>
        <v>1000000</v>
      </c>
      <c r="D74" s="40">
        <f>D11+D22+D25+D28+D33+D37+D51+D59</f>
        <v>736537.56</v>
      </c>
      <c r="E74" s="45">
        <f>D74/C74*100</f>
        <v>73.653756</v>
      </c>
      <c r="F74" s="40">
        <f>F11+F22+F25+F28+F33+F37+F51+F59</f>
        <v>985618</v>
      </c>
      <c r="G74" s="40">
        <f>G11+G22+G25+G28+G33+G37+G59</f>
        <v>626439.682</v>
      </c>
      <c r="H74" s="45">
        <f t="shared" si="4"/>
        <v>63.558060222114456</v>
      </c>
    </row>
    <row r="75" spans="1:8" ht="15.75">
      <c r="A75" s="38"/>
      <c r="B75" s="41" t="s">
        <v>96</v>
      </c>
      <c r="C75" s="40">
        <f>C66</f>
        <v>53228</v>
      </c>
      <c r="D75" s="40">
        <f>D66</f>
        <v>6560.7</v>
      </c>
      <c r="E75" s="45">
        <f>D75/C75*100</f>
        <v>12.325655669948148</v>
      </c>
      <c r="F75" s="40">
        <f>F66</f>
        <v>95990</v>
      </c>
      <c r="G75" s="40">
        <f>G66</f>
        <v>10000</v>
      </c>
      <c r="H75" s="45">
        <f t="shared" si="4"/>
        <v>10.417751849150953</v>
      </c>
    </row>
    <row r="76" spans="1:8" ht="15.75">
      <c r="A76" s="38"/>
      <c r="B76" s="47" t="s">
        <v>100</v>
      </c>
      <c r="C76" s="40"/>
      <c r="D76" s="40"/>
      <c r="E76" s="45"/>
      <c r="F76" s="40"/>
      <c r="G76" s="40"/>
      <c r="H76" s="45">
        <v>0</v>
      </c>
    </row>
    <row r="77" spans="1:8" ht="15.75">
      <c r="A77" s="38"/>
      <c r="B77" s="48" t="s">
        <v>99</v>
      </c>
      <c r="C77" s="40"/>
      <c r="D77" s="40"/>
      <c r="E77" s="45"/>
      <c r="F77" s="40"/>
      <c r="G77" s="40"/>
      <c r="H77" s="45">
        <v>0</v>
      </c>
    </row>
    <row r="78" spans="1:8" ht="15.75">
      <c r="A78" s="38"/>
      <c r="B78" s="56" t="s">
        <v>94</v>
      </c>
      <c r="C78" s="59">
        <f>C73+C72</f>
        <v>1053228</v>
      </c>
      <c r="D78" s="59">
        <f>D73+D72</f>
        <v>743098.26</v>
      </c>
      <c r="E78" s="53">
        <f>D78/C78*100</f>
        <v>70.554358600417</v>
      </c>
      <c r="F78" s="59">
        <f>F73+F72</f>
        <v>1081608</v>
      </c>
      <c r="G78" s="59">
        <f>G73+G72</f>
        <v>654089.682</v>
      </c>
      <c r="H78" s="53">
        <f t="shared" si="4"/>
        <v>60.47382064481772</v>
      </c>
    </row>
    <row r="79" spans="1:8" ht="15.75">
      <c r="A79" s="55"/>
      <c r="B79" s="79" t="s">
        <v>103</v>
      </c>
      <c r="C79" s="75"/>
      <c r="D79" s="75"/>
      <c r="E79" s="75"/>
      <c r="F79" s="75"/>
      <c r="G79" s="75"/>
      <c r="H79" s="76"/>
    </row>
    <row r="80" spans="1:8" ht="15.75">
      <c r="A80" s="55"/>
      <c r="B80" s="80"/>
      <c r="C80" s="77"/>
      <c r="D80" s="77"/>
      <c r="E80" s="77"/>
      <c r="F80" s="77"/>
      <c r="G80" s="77"/>
      <c r="H80" s="78"/>
    </row>
    <row r="81" spans="1:8" ht="94.5">
      <c r="A81" s="38"/>
      <c r="B81" s="57" t="s">
        <v>102</v>
      </c>
      <c r="C81" s="61">
        <v>39623</v>
      </c>
      <c r="D81" s="61">
        <v>7444.833</v>
      </c>
      <c r="E81" s="54">
        <f>D81/C81*100</f>
        <v>18.789170431315146</v>
      </c>
      <c r="F81" s="62"/>
      <c r="G81" s="62"/>
      <c r="H81" s="54"/>
    </row>
    <row r="82" spans="1:8" ht="15.75">
      <c r="A82" s="49"/>
      <c r="B82" s="50"/>
      <c r="C82" s="51"/>
      <c r="D82" s="51"/>
      <c r="E82" s="52"/>
      <c r="F82" s="51"/>
      <c r="G82" s="51"/>
      <c r="H82" s="52"/>
    </row>
    <row r="83" spans="1:8" ht="15.75" customHeight="1">
      <c r="A83" s="42"/>
      <c r="B83" s="73" t="s">
        <v>106</v>
      </c>
      <c r="C83" s="73"/>
      <c r="D83" s="73"/>
      <c r="E83" s="73"/>
      <c r="F83" s="73"/>
      <c r="G83" s="73"/>
      <c r="H83" s="73"/>
    </row>
    <row r="84" spans="2:8" ht="15">
      <c r="B84" s="74"/>
      <c r="C84" s="74"/>
      <c r="D84" s="74"/>
      <c r="E84" s="74"/>
      <c r="F84" s="74"/>
      <c r="G84" s="74"/>
      <c r="H84" s="74"/>
    </row>
    <row r="85" spans="2:8" ht="51.75" customHeight="1">
      <c r="B85" s="74"/>
      <c r="C85" s="74"/>
      <c r="D85" s="74"/>
      <c r="E85" s="74"/>
      <c r="F85" s="74"/>
      <c r="G85" s="74"/>
      <c r="H85" s="74"/>
    </row>
  </sheetData>
  <sheetProtection/>
  <mergeCells count="14">
    <mergeCell ref="B83:H85"/>
    <mergeCell ref="B7:B8"/>
    <mergeCell ref="C7:E7"/>
    <mergeCell ref="F7:H7"/>
    <mergeCell ref="A10:H10"/>
    <mergeCell ref="A12:A21"/>
    <mergeCell ref="B79:B80"/>
    <mergeCell ref="C79:H80"/>
    <mergeCell ref="A2:H2"/>
    <mergeCell ref="A3:H3"/>
    <mergeCell ref="A4:H4"/>
    <mergeCell ref="A5:H5"/>
    <mergeCell ref="E6:F6"/>
    <mergeCell ref="G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 М. Пинаева</cp:lastModifiedBy>
  <cp:lastPrinted>2012-08-03T06:45:29Z</cp:lastPrinted>
  <dcterms:created xsi:type="dcterms:W3CDTF">2011-06-07T05:32:02Z</dcterms:created>
  <dcterms:modified xsi:type="dcterms:W3CDTF">2012-08-03T06:46:47Z</dcterms:modified>
  <cp:category/>
  <cp:version/>
  <cp:contentType/>
  <cp:contentStatus/>
</cp:coreProperties>
</file>