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10995" activeTab="0"/>
  </bookViews>
  <sheets>
    <sheet name="на 01 июня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F55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Кап строительство пруд в кумен районе 30 000, противопаводновые 3 000, 4 000 мелиор меропр в рыбохозяйственных водоемах</t>
        </r>
      </text>
    </comment>
    <comment ref="G55" authorId="0">
      <text>
        <r>
          <rPr>
            <b/>
            <sz val="8"/>
            <rFont val="Tahoma"/>
            <family val="2"/>
          </rPr>
          <t xml:space="preserve">1 Получено 3 000 на противопаводковые мероприятия, 30 000 на капитальные вложения
</t>
        </r>
        <r>
          <rPr>
            <sz val="8"/>
            <rFont val="Tahoma"/>
            <family val="2"/>
          </rPr>
          <t xml:space="preserve">
</t>
        </r>
      </text>
    </comment>
    <comment ref="G62" authorId="0">
      <text>
        <r>
          <rPr>
            <b/>
            <sz val="8"/>
            <rFont val="Tahoma"/>
            <family val="2"/>
          </rPr>
          <t xml:space="preserve">Автор: Созинова
</t>
        </r>
        <r>
          <rPr>
            <sz val="8"/>
            <rFont val="Tahoma"/>
            <family val="2"/>
          </rPr>
          <t xml:space="preserve">
Передано хозяйствам техники  1036,412 , племенного скота - 11430,414 (Красногорский) ,  оборудования 72 040,940, кроме того без актов приема передачи  оборудования - 18793,940. Поступила в область техника 33293,743 - на складах идет приемка, обслуживание, в хозяйства пока не передана (в итог не входит)
</t>
        </r>
      </text>
    </comment>
  </commentList>
</comments>
</file>

<file path=xl/sharedStrings.xml><?xml version="1.0" encoding="utf-8"?>
<sst xmlns="http://schemas.openxmlformats.org/spreadsheetml/2006/main" count="127" uniqueCount="122">
  <si>
    <t>ИНФОРМАЦИЯ</t>
  </si>
  <si>
    <t>о финансировании АПК Кировской области</t>
  </si>
  <si>
    <t>по Департаменту сельского хозяйства и продовольствия Кировской области</t>
  </si>
  <si>
    <t>на 01 июня 2011 года</t>
  </si>
  <si>
    <t xml:space="preserve"> </t>
  </si>
  <si>
    <t xml:space="preserve"> тыс. рублей</t>
  </si>
  <si>
    <t>Наименование статей (подстатей) классификации расходов бюджетов</t>
  </si>
  <si>
    <t>Областной бюджет</t>
  </si>
  <si>
    <t>Федеральный бюджет</t>
  </si>
  <si>
    <t>План на 2011 год *</t>
  </si>
  <si>
    <t>Факт</t>
  </si>
  <si>
    <t>% выполнения</t>
  </si>
  <si>
    <t>План на 2011 год*</t>
  </si>
  <si>
    <t>Всего фед и обл</t>
  </si>
  <si>
    <t>За май</t>
  </si>
  <si>
    <t>Всего</t>
  </si>
  <si>
    <t>Областная целевая программа "Развитие агропромышленного комплекса Кировской области на период до 20115 года"</t>
  </si>
  <si>
    <t>Повышение доступности кредитов  и займов для с/х товаропроизводителей,  организаций АПК и организаций потребкооперации</t>
  </si>
  <si>
    <t xml:space="preserve">Субвенции  на уплату процентов по кркедитам (займам), полученным на срок до 1 года </t>
  </si>
  <si>
    <t xml:space="preserve">Субвенции на уплату процентов  по  инвестиционным кредитам за счет областного бюджета </t>
  </si>
  <si>
    <t>Субсидирование процентных ставок по кредитам на развитие промышленного рыбоводства</t>
  </si>
  <si>
    <t>Субсидирование процентных ставок по инвестиционным кредитам</t>
  </si>
  <si>
    <t xml:space="preserve">  от 2 до 8 лет (ПНП), до 10 лет (2011г.) (через департамент с/х)</t>
  </si>
  <si>
    <r>
      <t>субвенции</t>
    </r>
    <r>
      <rPr>
        <sz val="12"/>
        <rFont val="Times New Roman"/>
        <family val="1"/>
      </rPr>
      <t xml:space="preserve"> 3, 5, 8, 10 летние кредиты</t>
    </r>
  </si>
  <si>
    <t>Субсидирование процентных ставок по  кредитам на развитие малых форм хозяйствования</t>
  </si>
  <si>
    <t>в том числе:</t>
  </si>
  <si>
    <t xml:space="preserve">         Граждане, ведущие ЛПХ, и крестянские   (фермерские) хозяйства-физические лица</t>
  </si>
  <si>
    <t xml:space="preserve">         С/х потребительские кооперативы и крестянские (фермерские) хозяйства-юридические лица</t>
  </si>
  <si>
    <t>Концентрация земельных участков их земель с/х назначения в собственности области и обеспечение эффективного управления ими</t>
  </si>
  <si>
    <t>Невостребованные земельные доли</t>
  </si>
  <si>
    <t>Востребованные земельные доли</t>
  </si>
  <si>
    <r>
      <t>Создание условий для развития пищевой и перерабатывающей промышленности, закрепления организаций мясной и молочной  промышленности, организаций пищевой промышленности, производящих подакцизные товары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на традиционных продовольственных рынках и выхода их на межрегиональные  продовольственные рынки</t>
    </r>
  </si>
  <si>
    <t>3.2.</t>
  </si>
  <si>
    <t>Осуществление технической и технологической модернизации (возмещение процентных ставок)</t>
  </si>
  <si>
    <t>3.3.</t>
  </si>
  <si>
    <t xml:space="preserve"> Возмещение организациям пищевой  промышленности, производящим подакцизные товары, части затрат в связи с релизацией товаров за пределами Кировской области (через департамент промышленности)</t>
  </si>
  <si>
    <t>Создание условий для развития базовых и перспективных  в долгосрочном периоде отраслей сельского хозяйства</t>
  </si>
  <si>
    <t>4.1.</t>
  </si>
  <si>
    <t>Семеноводство сельскохозяйственных культур</t>
  </si>
  <si>
    <t>4.2.</t>
  </si>
  <si>
    <t>Развитие племенного животноводства</t>
  </si>
  <si>
    <t>4.3.</t>
  </si>
  <si>
    <t>Развитие льняного комплекса</t>
  </si>
  <si>
    <t>4.4.</t>
  </si>
  <si>
    <t>Развитие мясного скотоводства</t>
  </si>
  <si>
    <t>Создание предпосылок устойчивого развития сельских территорий, повышения занятости и уровня жизни сельского населения</t>
  </si>
  <si>
    <t>5.1.3.</t>
  </si>
  <si>
    <t>Стимулирование интеграционных процессов в сельском хозяйстве</t>
  </si>
  <si>
    <t>Премии победителям и призерам ежегодного конкурса "Лучшее личное подсобное хозяйство"</t>
  </si>
  <si>
    <t>5.3.</t>
  </si>
  <si>
    <t>Закладка многолетних насаждений и уход за ними</t>
  </si>
  <si>
    <t>Повышение конкурентоспособности продукции и устойчивости функционирования организаций АПК области</t>
  </si>
  <si>
    <t>6.1.</t>
  </si>
  <si>
    <t>Сздание и развитие информационно-консультационной службы ИКЦ</t>
  </si>
  <si>
    <t>6.2.1.</t>
  </si>
  <si>
    <t>Субсидии за реализованную сельхозпродукцию</t>
  </si>
  <si>
    <t>6.2.2.</t>
  </si>
  <si>
    <t>Предоставление субсидий на увеличение производства молока</t>
  </si>
  <si>
    <t>Субсидии на приобретение ГСМ</t>
  </si>
  <si>
    <t>6.2.3.</t>
  </si>
  <si>
    <t>Субсидии на сельскохозяйственное страхование</t>
  </si>
  <si>
    <t>6.2.4.</t>
  </si>
  <si>
    <t>Научное и информационное решение проблем (КГТРК "Вятка")</t>
  </si>
  <si>
    <t>6.2.3.2.</t>
  </si>
  <si>
    <t>Субсидии на перевозку приобретенных и заготовленных  для покрытия недостатка грубых и сочных кормов</t>
  </si>
  <si>
    <t>Субсидии  на приобремение для покрытия недостатка кормов для сельскоозяйственных животных</t>
  </si>
  <si>
    <t>Субсидии  гражданам, ведущим ЛПХ, на возмещение затрат, вызванных гибелью с/х растений в результате засухи, на заготовку и (или) приобремение  кормов для коров</t>
  </si>
  <si>
    <t>6.3.</t>
  </si>
  <si>
    <t>Комплекс мер по защите сельскохозяйственных культур от вредителей, болезней и сорняков</t>
  </si>
  <si>
    <t>6.4.</t>
  </si>
  <si>
    <t>Ветеринарное обеспечение и проведение противоэпизоотических мероприятий</t>
  </si>
  <si>
    <t>6.5.</t>
  </si>
  <si>
    <t>Повышение кадрового потэнциала АПК области</t>
  </si>
  <si>
    <t>6.6.</t>
  </si>
  <si>
    <t xml:space="preserve">Создание системы информационного обеспечения </t>
  </si>
  <si>
    <t>7.  Поддержание почвенного плодородия</t>
  </si>
  <si>
    <t>7.1.</t>
  </si>
  <si>
    <t>Агрохимическое и фитосанитарное обследование почв с/х угодий</t>
  </si>
  <si>
    <t>7.2.</t>
  </si>
  <si>
    <t>Проведение комплекса работ по агрохимической мелиорации земель с/х назначения (известкование, фосфоритование)</t>
  </si>
  <si>
    <t>7.3.1.</t>
  </si>
  <si>
    <t>Приобретение агрохимикатов</t>
  </si>
  <si>
    <t>7.3.2.</t>
  </si>
  <si>
    <t>Подсев трав</t>
  </si>
  <si>
    <t>7.4.1.</t>
  </si>
  <si>
    <t>Проектирование, строительство, содержание, включая обследование, ремонт и реконструкцию мелиоративных систем</t>
  </si>
  <si>
    <t>7.4.2.</t>
  </si>
  <si>
    <t>Культуртехнические и противоэрозионные мероприятия</t>
  </si>
  <si>
    <t>7.5.1.</t>
  </si>
  <si>
    <t xml:space="preserve">Научное и информационное обеспечение, разработка и исследование новых технологий, организация и проведение конкурсов, семинаров, совещаний, конференций, подготовка, издание и выпуск методической литературы </t>
  </si>
  <si>
    <t>Содействие технической и технологической модернизации сельского хозяйства</t>
  </si>
  <si>
    <t>8.1.</t>
  </si>
  <si>
    <t xml:space="preserve">Возмещение затрат на приобретение современной с/х техники, оборудования </t>
  </si>
  <si>
    <t>8.2.</t>
  </si>
  <si>
    <t>Возмещение затрат на и на уплату лизинговых платежей по договорам финансовой аренды (лизинга)</t>
  </si>
  <si>
    <t>в том числе из федерального бюджета лизинг с/х машин и племскота</t>
  </si>
  <si>
    <t>Социальное развитие села до 2012 года</t>
  </si>
  <si>
    <t>В том числе обеспечение жильём, соцсфера (водоснабжение, здравоохранение)</t>
  </si>
  <si>
    <t>в т.ч.  Обеспечение жильем</t>
  </si>
  <si>
    <t>Соцсфера (Водоснабжение, Здравоохранение)</t>
  </si>
  <si>
    <t>Газоснабжение в рамках ФЦП</t>
  </si>
  <si>
    <t>Итого по целевым программам</t>
  </si>
  <si>
    <t xml:space="preserve">Финансовое обеспечение расходных обязательств местных бюджетов по переданным полномочиям </t>
  </si>
  <si>
    <t>ВСЕГО</t>
  </si>
  <si>
    <t xml:space="preserve"> в том числе   АПК до 2015 года</t>
  </si>
  <si>
    <t xml:space="preserve">                      Соц. развитие села</t>
  </si>
  <si>
    <t xml:space="preserve">* План на 2011 год по средствам областного бюджета отражен в объеме, установленном Законом Кировской области от 02.12.2010   № 579-ЗО "Об областном бюджете на 2011 год", по средствам федерального бюджета в объеме, установленном Соглашениями с Минсельхозом России от 08.02.2011 № 5/17 и от 21.02.2011 № 104/10.  </t>
  </si>
  <si>
    <t>в том числе в мае</t>
  </si>
  <si>
    <t xml:space="preserve">Выписка из л/счета </t>
  </si>
  <si>
    <t>Аппарат</t>
  </si>
  <si>
    <t>Лизинг</t>
  </si>
  <si>
    <t>Программы, финансирование</t>
  </si>
  <si>
    <t>Мелиоратор</t>
  </si>
  <si>
    <t>Ветеринария</t>
  </si>
  <si>
    <t>Газ</t>
  </si>
  <si>
    <t>в т.ч. Пищевка</t>
  </si>
  <si>
    <t xml:space="preserve">Отклонение </t>
  </si>
  <si>
    <t>возврат</t>
  </si>
  <si>
    <t>инвест кредит</t>
  </si>
  <si>
    <t>Программа АПК</t>
  </si>
  <si>
    <t>в т.ч. % ч/з субвенции</t>
  </si>
  <si>
    <t>Итого программы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</si>
</sst>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%"/>
    <numFmt numFmtId="167" formatCode="_(* #,##0.00_);_(* \(#,##0.00\);_(* &quot;-&quot;??_);_(@_)"/>
    <numFmt numFmtId="168" formatCode="_-* #,##0_р_._-;\-* #,##0_р_._-;_-* &quot;-&quot;??_р_._-;_-@_-"/>
    <numFmt numFmtId="169" formatCode="_-* #,##0.000_р_._-;\-* #,##0.000_р_._-;_-* &quot;-&quot;??_р_.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G Times"/>
      <family val="1"/>
    </font>
    <font>
      <sz val="12"/>
      <name val="Times New Roman"/>
      <family val="1"/>
    </font>
    <font>
      <sz val="9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3.5"/>
      <name val="Times New Roman"/>
      <family val="1"/>
    </font>
    <font>
      <i/>
      <sz val="10"/>
      <name val="Arial"/>
      <family val="2"/>
    </font>
    <font>
      <i/>
      <sz val="13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2"/>
      <name val="CG Times"/>
      <family val="1"/>
    </font>
    <font>
      <sz val="8"/>
      <name val="Arial"/>
      <family val="2"/>
    </font>
    <font>
      <b/>
      <i/>
      <sz val="13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/>
    </xf>
    <xf numFmtId="164" fontId="3" fillId="0" borderId="12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 wrapText="1"/>
    </xf>
    <xf numFmtId="166" fontId="3" fillId="0" borderId="12" xfId="55" applyNumberFormat="1" applyFont="1" applyFill="1" applyBorder="1" applyAlignment="1">
      <alignment horizontal="center" vertical="center"/>
    </xf>
    <xf numFmtId="164" fontId="0" fillId="0" borderId="0" xfId="0" applyNumberFormat="1" applyFill="1" applyAlignment="1">
      <alignment/>
    </xf>
    <xf numFmtId="165" fontId="0" fillId="0" borderId="0" xfId="0" applyNumberFormat="1" applyFill="1" applyAlignment="1">
      <alignment/>
    </xf>
    <xf numFmtId="0" fontId="6" fillId="0" borderId="12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horizontal="center" vertical="center"/>
    </xf>
    <xf numFmtId="165" fontId="3" fillId="0" borderId="12" xfId="58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top" wrapText="1"/>
    </xf>
    <xf numFmtId="164" fontId="6" fillId="0" borderId="12" xfId="58" applyNumberFormat="1" applyFont="1" applyFill="1" applyBorder="1" applyAlignment="1">
      <alignment horizontal="center" vertical="center"/>
    </xf>
    <xf numFmtId="165" fontId="6" fillId="0" borderId="12" xfId="0" applyNumberFormat="1" applyFont="1" applyFill="1" applyBorder="1" applyAlignment="1">
      <alignment horizontal="center" vertical="center"/>
    </xf>
    <xf numFmtId="164" fontId="6" fillId="0" borderId="12" xfId="0" applyNumberFormat="1" applyFont="1" applyFill="1" applyBorder="1" applyAlignment="1">
      <alignment horizontal="center" vertical="center"/>
    </xf>
    <xf numFmtId="165" fontId="6" fillId="0" borderId="12" xfId="58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top" wrapText="1"/>
    </xf>
    <xf numFmtId="165" fontId="3" fillId="0" borderId="1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justify" vertical="center"/>
    </xf>
    <xf numFmtId="0" fontId="3" fillId="0" borderId="17" xfId="0" applyFont="1" applyFill="1" applyBorder="1" applyAlignment="1">
      <alignment horizontal="left" vertical="top" wrapText="1"/>
    </xf>
    <xf numFmtId="164" fontId="3" fillId="0" borderId="12" xfId="0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horizontal="center"/>
    </xf>
    <xf numFmtId="164" fontId="3" fillId="0" borderId="12" xfId="58" applyNumberFormat="1" applyFont="1" applyFill="1" applyBorder="1" applyAlignment="1">
      <alignment horizontal="center" vertical="center" wrapText="1"/>
    </xf>
    <xf numFmtId="165" fontId="3" fillId="0" borderId="12" xfId="58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14" fontId="6" fillId="0" borderId="12" xfId="0" applyNumberFormat="1" applyFont="1" applyFill="1" applyBorder="1" applyAlignment="1">
      <alignment horizontal="center" vertical="top"/>
    </xf>
    <xf numFmtId="4" fontId="3" fillId="0" borderId="12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wrapText="1"/>
    </xf>
    <xf numFmtId="0" fontId="6" fillId="0" borderId="17" xfId="0" applyFont="1" applyFill="1" applyBorder="1" applyAlignment="1">
      <alignment/>
    </xf>
    <xf numFmtId="0" fontId="3" fillId="0" borderId="17" xfId="0" applyFont="1" applyFill="1" applyBorder="1" applyAlignment="1">
      <alignment vertical="top" wrapText="1"/>
    </xf>
    <xf numFmtId="164" fontId="3" fillId="0" borderId="12" xfId="58" applyNumberFormat="1" applyFont="1" applyFill="1" applyBorder="1" applyAlignment="1">
      <alignment vertical="center"/>
    </xf>
    <xf numFmtId="164" fontId="3" fillId="0" borderId="12" xfId="58" applyNumberFormat="1" applyFont="1" applyFill="1" applyBorder="1" applyAlignment="1">
      <alignment/>
    </xf>
    <xf numFmtId="165" fontId="3" fillId="0" borderId="12" xfId="0" applyNumberFormat="1" applyFont="1" applyFill="1" applyBorder="1" applyAlignment="1">
      <alignment vertical="center"/>
    </xf>
    <xf numFmtId="16" fontId="6" fillId="0" borderId="12" xfId="0" applyNumberFormat="1" applyFont="1" applyFill="1" applyBorder="1" applyAlignment="1">
      <alignment horizontal="center" vertical="top"/>
    </xf>
    <xf numFmtId="0" fontId="6" fillId="0" borderId="16" xfId="0" applyFont="1" applyFill="1" applyBorder="1" applyAlignment="1">
      <alignment vertical="center" wrapText="1"/>
    </xf>
    <xf numFmtId="164" fontId="3" fillId="0" borderId="12" xfId="58" applyNumberFormat="1" applyFont="1" applyFill="1" applyBorder="1" applyAlignment="1">
      <alignment horizontal="center"/>
    </xf>
    <xf numFmtId="165" fontId="3" fillId="0" borderId="12" xfId="58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vertical="top"/>
    </xf>
    <xf numFmtId="0" fontId="3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164" fontId="6" fillId="0" borderId="12" xfId="0" applyNumberFormat="1" applyFont="1" applyFill="1" applyBorder="1" applyAlignment="1">
      <alignment horizontal="center"/>
    </xf>
    <xf numFmtId="165" fontId="6" fillId="0" borderId="12" xfId="0" applyNumberFormat="1" applyFont="1" applyFill="1" applyBorder="1" applyAlignment="1">
      <alignment horizontal="center"/>
    </xf>
    <xf numFmtId="9" fontId="6" fillId="0" borderId="12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9" fontId="8" fillId="0" borderId="0" xfId="0" applyNumberFormat="1" applyFont="1" applyFill="1" applyBorder="1" applyAlignment="1">
      <alignment/>
    </xf>
    <xf numFmtId="164" fontId="8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9" fontId="10" fillId="0" borderId="0" xfId="0" applyNumberFormat="1" applyFont="1" applyFill="1" applyAlignment="1">
      <alignment/>
    </xf>
    <xf numFmtId="164" fontId="11" fillId="0" borderId="0" xfId="0" applyNumberFormat="1" applyFont="1" applyFill="1" applyAlignment="1">
      <alignment horizontal="center"/>
    </xf>
    <xf numFmtId="165" fontId="11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justify" vertical="center" wrapText="1"/>
    </xf>
    <xf numFmtId="167" fontId="0" fillId="0" borderId="0" xfId="58" applyNumberFormat="1" applyFont="1" applyFill="1" applyBorder="1" applyAlignment="1">
      <alignment/>
    </xf>
    <xf numFmtId="167" fontId="1" fillId="0" borderId="0" xfId="58" applyNumberFormat="1" applyFont="1" applyFill="1" applyBorder="1" applyAlignment="1">
      <alignment/>
    </xf>
    <xf numFmtId="168" fontId="13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67" fontId="0" fillId="0" borderId="0" xfId="58" applyNumberFormat="1" applyFont="1" applyFill="1" applyAlignment="1">
      <alignment/>
    </xf>
    <xf numFmtId="164" fontId="9" fillId="0" borderId="12" xfId="0" applyNumberFormat="1" applyFont="1" applyFill="1" applyBorder="1" applyAlignment="1">
      <alignment horizontal="center" vertical="center"/>
    </xf>
    <xf numFmtId="164" fontId="14" fillId="0" borderId="12" xfId="0" applyNumberFormat="1" applyFont="1" applyFill="1" applyBorder="1" applyAlignment="1">
      <alignment horizontal="center" vertical="center"/>
    </xf>
    <xf numFmtId="168" fontId="0" fillId="0" borderId="0" xfId="0" applyNumberFormat="1" applyFill="1" applyBorder="1" applyAlignment="1">
      <alignment/>
    </xf>
    <xf numFmtId="43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10" fillId="0" borderId="0" xfId="0" applyFont="1" applyFill="1" applyBorder="1" applyAlignment="1">
      <alignment/>
    </xf>
    <xf numFmtId="9" fontId="0" fillId="0" borderId="0" xfId="0" applyNumberFormat="1" applyFill="1" applyAlignment="1">
      <alignment/>
    </xf>
    <xf numFmtId="164" fontId="10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/>
    </xf>
    <xf numFmtId="17" fontId="2" fillId="0" borderId="0" xfId="0" applyNumberFormat="1" applyFont="1" applyFill="1" applyAlignment="1">
      <alignment horizontal="center" vertical="center" wrapText="1"/>
    </xf>
    <xf numFmtId="0" fontId="3" fillId="0" borderId="29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esktop\&#1040;&#1085;&#1072;&#1083;&#1080;&#1090;%20&#1084;&#1072;&#1090;&#1077;&#1088;&#1080;&#1072;&#1083;\&#1060;&#1080;&#1085;%202011%20&#1076;&#1083;&#1103;%20&#1088;&#1091;&#1082;&#1086;&#1074;\&#1040;&#1089;&#1089;&#1080;&#1075;&#1085;&#1086;&#1074;&#1072;&#1085;&#1080;&#1103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  <sheetName val="2009"/>
      <sheetName val="2010"/>
      <sheetName val="янв 2011"/>
      <sheetName val="01.02.2011"/>
      <sheetName val="01.03.2011"/>
      <sheetName val="01.04.2011"/>
      <sheetName val="01.05.2011"/>
      <sheetName val="на 01.06.2011"/>
      <sheetName val="для сайта"/>
      <sheetName val="Июнь"/>
    </sheetNames>
    <sheetDataSet>
      <sheetData sheetId="7">
        <row r="8">
          <cell r="D8">
            <v>215799.05500000002</v>
          </cell>
        </row>
        <row r="9">
          <cell r="D9">
            <v>47423.744999999995</v>
          </cell>
        </row>
        <row r="10">
          <cell r="D10">
            <v>9168.374</v>
          </cell>
        </row>
        <row r="11">
          <cell r="D11">
            <v>704.892</v>
          </cell>
        </row>
        <row r="12">
          <cell r="D12">
            <v>112.225</v>
          </cell>
        </row>
        <row r="13">
          <cell r="D13">
            <v>37054.255999999994</v>
          </cell>
        </row>
        <row r="14">
          <cell r="D14">
            <v>27626.797</v>
          </cell>
        </row>
        <row r="15">
          <cell r="D15">
            <v>9427.458999999999</v>
          </cell>
        </row>
        <row r="16">
          <cell r="D16">
            <v>383.998</v>
          </cell>
        </row>
        <row r="18">
          <cell r="D18">
            <v>303.068</v>
          </cell>
        </row>
        <row r="19">
          <cell r="D19">
            <v>80.92999999999999</v>
          </cell>
        </row>
        <row r="20">
          <cell r="D20">
            <v>3249.717</v>
          </cell>
        </row>
        <row r="21">
          <cell r="D21">
            <v>2519.672</v>
          </cell>
        </row>
        <row r="22">
          <cell r="D22">
            <v>730.045</v>
          </cell>
        </row>
        <row r="23">
          <cell r="D23">
            <v>357.431</v>
          </cell>
        </row>
        <row r="24">
          <cell r="D24">
            <v>357.431</v>
          </cell>
        </row>
        <row r="25">
          <cell r="D25">
            <v>0</v>
          </cell>
        </row>
        <row r="26">
          <cell r="D26">
            <v>605.64</v>
          </cell>
        </row>
        <row r="28">
          <cell r="D28">
            <v>605.64</v>
          </cell>
        </row>
        <row r="31">
          <cell r="D31">
            <v>0</v>
          </cell>
        </row>
        <row r="35">
          <cell r="D35">
            <v>117511.29200000002</v>
          </cell>
        </row>
        <row r="36">
          <cell r="D36">
            <v>751</v>
          </cell>
        </row>
        <row r="37">
          <cell r="D37">
            <v>112351.517</v>
          </cell>
        </row>
        <row r="41">
          <cell r="D41">
            <v>70</v>
          </cell>
        </row>
        <row r="45">
          <cell r="D45">
            <v>3330.58</v>
          </cell>
        </row>
        <row r="46">
          <cell r="D46">
            <v>864.875</v>
          </cell>
        </row>
        <row r="47">
          <cell r="D47">
            <v>143.32</v>
          </cell>
        </row>
        <row r="48">
          <cell r="D48">
            <v>0</v>
          </cell>
        </row>
        <row r="56">
          <cell r="D56">
            <v>9500</v>
          </cell>
        </row>
        <row r="57">
          <cell r="D57">
            <v>8500</v>
          </cell>
        </row>
        <row r="58">
          <cell r="D58">
            <v>1000</v>
          </cell>
        </row>
        <row r="62">
          <cell r="D62">
            <v>17001.2</v>
          </cell>
        </row>
        <row r="63">
          <cell r="D63">
            <v>8001.2</v>
          </cell>
        </row>
        <row r="64">
          <cell r="D64">
            <v>9000</v>
          </cell>
        </row>
        <row r="66">
          <cell r="D66">
            <v>195649.02500000002</v>
          </cell>
        </row>
        <row r="68">
          <cell r="D68">
            <v>20150.03</v>
          </cell>
        </row>
        <row r="69">
          <cell r="C69">
            <v>664913.6</v>
          </cell>
          <cell r="D69">
            <v>215799.05500000002</v>
          </cell>
          <cell r="E69">
            <v>32.45520245036348</v>
          </cell>
          <cell r="F69">
            <v>1063840.412</v>
          </cell>
          <cell r="G69">
            <v>282177.11600000004</v>
          </cell>
          <cell r="H69">
            <v>26.524383997550196</v>
          </cell>
        </row>
        <row r="70">
          <cell r="D70">
            <v>178647.825</v>
          </cell>
        </row>
        <row r="71">
          <cell r="D71">
            <v>17001.2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3"/>
  <sheetViews>
    <sheetView tabSelected="1" zoomScalePageLayoutView="0" workbookViewId="0" topLeftCell="A1">
      <selection activeCell="M7" sqref="M7"/>
    </sheetView>
  </sheetViews>
  <sheetFormatPr defaultColWidth="9.140625" defaultRowHeight="15"/>
  <cols>
    <col min="1" max="1" width="5.140625" style="1" customWidth="1"/>
    <col min="2" max="2" width="43.00390625" style="1" customWidth="1"/>
    <col min="3" max="3" width="13.140625" style="1" customWidth="1"/>
    <col min="4" max="4" width="12.57421875" style="1" customWidth="1"/>
    <col min="5" max="5" width="13.140625" style="1" customWidth="1"/>
    <col min="6" max="6" width="12.8515625" style="1" customWidth="1"/>
    <col min="7" max="7" width="14.28125" style="1" customWidth="1"/>
    <col min="8" max="8" width="9.140625" style="1" customWidth="1"/>
    <col min="9" max="10" width="0" style="1" hidden="1" customWidth="1"/>
    <col min="11" max="16384" width="9.140625" style="1" customWidth="1"/>
  </cols>
  <sheetData>
    <row r="1" spans="1:8" ht="18">
      <c r="A1" s="97" t="s">
        <v>0</v>
      </c>
      <c r="B1" s="97"/>
      <c r="C1" s="97"/>
      <c r="D1" s="97"/>
      <c r="E1" s="97"/>
      <c r="F1" s="97"/>
      <c r="G1" s="97"/>
      <c r="H1" s="97"/>
    </row>
    <row r="2" spans="1:8" ht="18">
      <c r="A2" s="97" t="s">
        <v>1</v>
      </c>
      <c r="B2" s="97"/>
      <c r="C2" s="97"/>
      <c r="D2" s="97"/>
      <c r="E2" s="97"/>
      <c r="F2" s="97"/>
      <c r="G2" s="97"/>
      <c r="H2" s="97"/>
    </row>
    <row r="3" spans="1:8" ht="18">
      <c r="A3" s="97" t="s">
        <v>2</v>
      </c>
      <c r="B3" s="97"/>
      <c r="C3" s="97"/>
      <c r="D3" s="97"/>
      <c r="E3" s="97"/>
      <c r="F3" s="97"/>
      <c r="G3" s="97"/>
      <c r="H3" s="97"/>
    </row>
    <row r="4" spans="1:8" ht="18">
      <c r="A4" s="98" t="s">
        <v>3</v>
      </c>
      <c r="B4" s="98"/>
      <c r="C4" s="98"/>
      <c r="D4" s="98"/>
      <c r="E4" s="98"/>
      <c r="F4" s="98"/>
      <c r="G4" s="98"/>
      <c r="H4" s="98"/>
    </row>
    <row r="5" spans="1:8" ht="16.5" thickBot="1">
      <c r="A5" s="2"/>
      <c r="B5" s="2" t="s">
        <v>4</v>
      </c>
      <c r="C5" s="2"/>
      <c r="D5" s="2"/>
      <c r="E5" s="99"/>
      <c r="F5" s="99"/>
      <c r="G5" s="99" t="s">
        <v>5</v>
      </c>
      <c r="H5" s="99"/>
    </row>
    <row r="6" spans="1:8" ht="15.75">
      <c r="A6" s="3"/>
      <c r="B6" s="84" t="s">
        <v>6</v>
      </c>
      <c r="C6" s="86" t="s">
        <v>7</v>
      </c>
      <c r="D6" s="87"/>
      <c r="E6" s="88"/>
      <c r="F6" s="89" t="s">
        <v>8</v>
      </c>
      <c r="G6" s="87"/>
      <c r="H6" s="88"/>
    </row>
    <row r="7" spans="1:10" ht="324">
      <c r="A7" s="4"/>
      <c r="B7" s="85"/>
      <c r="C7" s="5" t="s">
        <v>9</v>
      </c>
      <c r="D7" s="5" t="s">
        <v>10</v>
      </c>
      <c r="E7" s="6" t="s">
        <v>11</v>
      </c>
      <c r="F7" s="7" t="s">
        <v>12</v>
      </c>
      <c r="G7" s="5" t="s">
        <v>10</v>
      </c>
      <c r="H7" s="6" t="s">
        <v>11</v>
      </c>
      <c r="I7" s="8" t="s">
        <v>13</v>
      </c>
      <c r="J7" s="9" t="s">
        <v>14</v>
      </c>
    </row>
    <row r="8" spans="1:10" ht="15.75" hidden="1">
      <c r="A8" s="10"/>
      <c r="B8" s="11" t="s">
        <v>15</v>
      </c>
      <c r="C8" s="12">
        <f>C72</f>
        <v>805245.7</v>
      </c>
      <c r="D8" s="13">
        <f>D72</f>
        <v>352989.64774000004</v>
      </c>
      <c r="E8" s="14">
        <f>D8/C8</f>
        <v>0.43836266091206705</v>
      </c>
      <c r="F8" s="12">
        <f>F72</f>
        <v>1162126.706</v>
      </c>
      <c r="G8" s="13">
        <f>G72</f>
        <v>514794.026</v>
      </c>
      <c r="H8" s="15">
        <f>G8/F8</f>
        <v>0.44297581609831793</v>
      </c>
      <c r="I8" s="16">
        <f>C8+F8</f>
        <v>1967372.406</v>
      </c>
      <c r="J8" s="17">
        <f>D8-'[1]01.05.2011'!D8</f>
        <v>137190.59274000002</v>
      </c>
    </row>
    <row r="9" spans="1:10" ht="15.75">
      <c r="A9" s="90" t="s">
        <v>16</v>
      </c>
      <c r="B9" s="91"/>
      <c r="C9" s="91"/>
      <c r="D9" s="91"/>
      <c r="E9" s="91"/>
      <c r="F9" s="91"/>
      <c r="G9" s="91"/>
      <c r="H9" s="92"/>
      <c r="I9" s="16"/>
      <c r="J9" s="17"/>
    </row>
    <row r="10" spans="1:10" ht="63" customHeight="1">
      <c r="A10" s="18">
        <v>1</v>
      </c>
      <c r="B10" s="19" t="s">
        <v>17</v>
      </c>
      <c r="C10" s="20">
        <f>C12+C13+C14+C17+C11</f>
        <v>215293.18300000002</v>
      </c>
      <c r="D10" s="21">
        <f>D12+D13+D14+D17+D11</f>
        <v>64883.778999999995</v>
      </c>
      <c r="E10" s="20">
        <f>D10/C10*100</f>
        <v>30.13740523312342</v>
      </c>
      <c r="F10" s="20">
        <f>F12+F13+F14+F17+F11</f>
        <v>715284</v>
      </c>
      <c r="G10" s="21">
        <f>G12+G13+G14+G17+G11</f>
        <v>259489.55200000003</v>
      </c>
      <c r="H10" s="20">
        <f>G10/F10*100</f>
        <v>36.27783537727672</v>
      </c>
      <c r="I10" s="16">
        <f aca="true" t="shared" si="0" ref="I10:I70">C10+F10</f>
        <v>930577.183</v>
      </c>
      <c r="J10" s="17">
        <f>D10-'[1]01.05.2011'!D9</f>
        <v>17460.034</v>
      </c>
    </row>
    <row r="11" spans="1:10" ht="47.25" hidden="1">
      <c r="A11" s="93"/>
      <c r="B11" s="22" t="s">
        <v>18</v>
      </c>
      <c r="C11" s="23">
        <f>46000-6000</f>
        <v>40000</v>
      </c>
      <c r="D11" s="24">
        <f>1262.951+4000.198+0.03+3905.195+13.583+2868.789</f>
        <v>12050.746000000001</v>
      </c>
      <c r="E11" s="25">
        <f aca="true" t="shared" si="1" ref="E11:E60">D11/C11*100</f>
        <v>30.126865000000002</v>
      </c>
      <c r="F11" s="23">
        <f>114472</f>
        <v>114472</v>
      </c>
      <c r="G11" s="26">
        <f>40891.3</f>
        <v>40891.3</v>
      </c>
      <c r="H11" s="25">
        <f>G11/F11*100</f>
        <v>35.721661192256626</v>
      </c>
      <c r="I11" s="16">
        <f t="shared" si="0"/>
        <v>154472</v>
      </c>
      <c r="J11" s="17">
        <f>D11-'[1]01.05.2011'!D10</f>
        <v>2882.372000000001</v>
      </c>
    </row>
    <row r="12" spans="1:10" ht="47.25" hidden="1">
      <c r="A12" s="93"/>
      <c r="B12" s="27" t="s">
        <v>19</v>
      </c>
      <c r="C12" s="23">
        <v>3000</v>
      </c>
      <c r="D12" s="24">
        <f>364.406+340.486+60.448</f>
        <v>765.34</v>
      </c>
      <c r="E12" s="25">
        <f t="shared" si="1"/>
        <v>25.511333333333337</v>
      </c>
      <c r="F12" s="20"/>
      <c r="G12" s="28"/>
      <c r="H12" s="29"/>
      <c r="I12" s="16">
        <f t="shared" si="0"/>
        <v>3000</v>
      </c>
      <c r="J12" s="17">
        <f>D12-'[1]01.05.2011'!D11</f>
        <v>60.44799999999998</v>
      </c>
    </row>
    <row r="13" spans="1:10" ht="47.25" hidden="1">
      <c r="A13" s="93"/>
      <c r="B13" s="27" t="s">
        <v>20</v>
      </c>
      <c r="C13" s="25">
        <f>232.5</f>
        <v>232.5</v>
      </c>
      <c r="D13" s="24">
        <v>130.256</v>
      </c>
      <c r="E13" s="25">
        <f>D13/C13*100</f>
        <v>56.02408602150538</v>
      </c>
      <c r="F13" s="23">
        <v>930</v>
      </c>
      <c r="G13" s="26">
        <f>548.769</f>
        <v>548.769</v>
      </c>
      <c r="H13" s="25">
        <f>G13/F13*100</f>
        <v>59.00741935483871</v>
      </c>
      <c r="I13" s="16"/>
      <c r="J13" s="17">
        <f>D13-'[1]01.05.2011'!D12</f>
        <v>18.031000000000006</v>
      </c>
    </row>
    <row r="14" spans="1:10" ht="31.5" hidden="1">
      <c r="A14" s="93"/>
      <c r="B14" s="27" t="s">
        <v>21</v>
      </c>
      <c r="C14" s="25">
        <f>C15+C16</f>
        <v>169660.68300000002</v>
      </c>
      <c r="D14" s="24">
        <f>D15+D16</f>
        <v>51420.714</v>
      </c>
      <c r="E14" s="25">
        <f t="shared" si="1"/>
        <v>30.307973002796405</v>
      </c>
      <c r="F14" s="25">
        <f>F15+F16</f>
        <v>559370</v>
      </c>
      <c r="G14" s="24">
        <f>G15+G16</f>
        <v>208307.511</v>
      </c>
      <c r="H14" s="25">
        <f>G14/F14*100</f>
        <v>37.23966444392799</v>
      </c>
      <c r="I14" s="16"/>
      <c r="J14" s="17">
        <f>D14-'[1]01.05.2011'!D13</f>
        <v>14366.458000000006</v>
      </c>
    </row>
    <row r="15" spans="1:10" ht="31.5" hidden="1">
      <c r="A15" s="93"/>
      <c r="B15" s="27" t="s">
        <v>22</v>
      </c>
      <c r="C15" s="20">
        <f>400+182089.317-54654.317-60</f>
        <v>127775</v>
      </c>
      <c r="D15" s="30">
        <f>367.635+37906.82</f>
        <v>38274.455</v>
      </c>
      <c r="E15" s="29">
        <f t="shared" si="1"/>
        <v>29.954572490706322</v>
      </c>
      <c r="F15" s="20">
        <f>559370-F16</f>
        <v>390770</v>
      </c>
      <c r="G15" s="30">
        <f>1300+160449.886</f>
        <v>161749.886</v>
      </c>
      <c r="H15" s="29">
        <f aca="true" t="shared" si="2" ref="H15:H20">G15/F15*100</f>
        <v>41.39260588069709</v>
      </c>
      <c r="I15" s="16">
        <f t="shared" si="0"/>
        <v>518545</v>
      </c>
      <c r="J15" s="17">
        <f>D15-'[1]01.05.2011'!D14</f>
        <v>10647.658000000003</v>
      </c>
    </row>
    <row r="16" spans="1:10" ht="15.75" hidden="1">
      <c r="A16" s="93"/>
      <c r="B16" s="27" t="s">
        <v>23</v>
      </c>
      <c r="C16" s="20">
        <f>85285.683-C11-C12-C20</f>
        <v>41885.683000000005</v>
      </c>
      <c r="D16" s="30">
        <f>5544.835+3882.624+3718.8</f>
        <v>13146.258999999998</v>
      </c>
      <c r="E16" s="29">
        <f t="shared" si="1"/>
        <v>31.386044248102618</v>
      </c>
      <c r="F16" s="23">
        <v>168600</v>
      </c>
      <c r="G16" s="30">
        <f>46557.625</f>
        <v>46557.625</v>
      </c>
      <c r="H16" s="29">
        <f t="shared" si="2"/>
        <v>27.614249703440098</v>
      </c>
      <c r="I16" s="16">
        <f t="shared" si="0"/>
        <v>210485.68300000002</v>
      </c>
      <c r="J16" s="17">
        <f>D16-'[1]01.05.2011'!D15</f>
        <v>3718.7999999999993</v>
      </c>
    </row>
    <row r="17" spans="1:10" ht="47.25" hidden="1">
      <c r="A17" s="93"/>
      <c r="B17" s="27" t="s">
        <v>24</v>
      </c>
      <c r="C17" s="23">
        <f>C19+C20</f>
        <v>2400</v>
      </c>
      <c r="D17" s="26">
        <f>D19+D20</f>
        <v>516.723</v>
      </c>
      <c r="E17" s="29">
        <f t="shared" si="1"/>
        <v>21.530124999999998</v>
      </c>
      <c r="F17" s="23">
        <f>F19+F20</f>
        <v>40512</v>
      </c>
      <c r="G17" s="26">
        <f>G19+G20</f>
        <v>9741.972</v>
      </c>
      <c r="H17" s="29">
        <f t="shared" si="2"/>
        <v>24.047126777251187</v>
      </c>
      <c r="I17" s="16">
        <f t="shared" si="0"/>
        <v>42912</v>
      </c>
      <c r="J17" s="17">
        <f>D17-'[1]01.05.2011'!D16</f>
        <v>132.72499999999997</v>
      </c>
    </row>
    <row r="18" spans="1:10" ht="15.75" hidden="1">
      <c r="A18" s="93"/>
      <c r="B18" s="31" t="s">
        <v>25</v>
      </c>
      <c r="C18" s="20"/>
      <c r="D18" s="21"/>
      <c r="E18" s="29"/>
      <c r="F18" s="23"/>
      <c r="G18" s="26"/>
      <c r="H18" s="29"/>
      <c r="I18" s="16">
        <f t="shared" si="0"/>
        <v>0</v>
      </c>
      <c r="J18" s="17">
        <f>D18-'[1]01.05.2011'!D17</f>
        <v>0</v>
      </c>
    </row>
    <row r="19" spans="1:10" ht="47.25" hidden="1">
      <c r="A19" s="93"/>
      <c r="B19" s="27" t="s">
        <v>26</v>
      </c>
      <c r="C19" s="20">
        <v>2000</v>
      </c>
      <c r="D19" s="30">
        <f>384.999</f>
        <v>384.999</v>
      </c>
      <c r="E19" s="29">
        <f t="shared" si="1"/>
        <v>19.249950000000002</v>
      </c>
      <c r="F19" s="23">
        <f>40512-F20</f>
        <v>30512</v>
      </c>
      <c r="G19" s="26">
        <f>9741.972-G20</f>
        <v>7121.665</v>
      </c>
      <c r="H19" s="29">
        <f t="shared" si="2"/>
        <v>23.340538148925013</v>
      </c>
      <c r="I19" s="16">
        <f t="shared" si="0"/>
        <v>32512</v>
      </c>
      <c r="J19" s="17">
        <f>D19-'[1]01.05.2011'!D18</f>
        <v>81.93100000000004</v>
      </c>
    </row>
    <row r="20" spans="1:10" ht="47.25" hidden="1">
      <c r="A20" s="93"/>
      <c r="B20" s="27" t="s">
        <v>27</v>
      </c>
      <c r="C20" s="20">
        <v>400</v>
      </c>
      <c r="D20" s="30">
        <f>63.558+10.331+7.041+50.794</f>
        <v>131.724</v>
      </c>
      <c r="E20" s="29">
        <f t="shared" si="1"/>
        <v>32.931</v>
      </c>
      <c r="F20" s="23">
        <v>10000</v>
      </c>
      <c r="G20" s="26">
        <f>1870.316+749.991</f>
        <v>2620.307</v>
      </c>
      <c r="H20" s="29">
        <f t="shared" si="2"/>
        <v>26.20307</v>
      </c>
      <c r="I20" s="16">
        <f t="shared" si="0"/>
        <v>10400</v>
      </c>
      <c r="J20" s="17">
        <f>D20-'[1]01.05.2011'!D19</f>
        <v>50.794</v>
      </c>
    </row>
    <row r="21" spans="1:10" ht="68.25" customHeight="1">
      <c r="A21" s="18">
        <v>2</v>
      </c>
      <c r="B21" s="32" t="s">
        <v>28</v>
      </c>
      <c r="C21" s="20">
        <f>C23+C22</f>
        <v>10000</v>
      </c>
      <c r="D21" s="21">
        <f>D23+D22</f>
        <v>7292.097</v>
      </c>
      <c r="E21" s="20">
        <f>D21/C21*100</f>
        <v>72.92097</v>
      </c>
      <c r="F21" s="20"/>
      <c r="G21" s="21"/>
      <c r="H21" s="20"/>
      <c r="I21" s="16">
        <f t="shared" si="0"/>
        <v>10000</v>
      </c>
      <c r="J21" s="17">
        <f>D21-'[1]01.05.2011'!D20</f>
        <v>4042.3799999999997</v>
      </c>
    </row>
    <row r="22" spans="1:10" ht="15.75" hidden="1">
      <c r="A22" s="18"/>
      <c r="B22" s="33" t="s">
        <v>29</v>
      </c>
      <c r="C22" s="20">
        <v>7000</v>
      </c>
      <c r="D22" s="21">
        <f>5292.305</f>
        <v>5292.305</v>
      </c>
      <c r="E22" s="29">
        <f t="shared" si="1"/>
        <v>75.60435714285715</v>
      </c>
      <c r="F22" s="20"/>
      <c r="G22" s="21"/>
      <c r="H22" s="20"/>
      <c r="I22" s="16">
        <f t="shared" si="0"/>
        <v>7000</v>
      </c>
      <c r="J22" s="17">
        <f>D22-'[1]01.05.2011'!D21</f>
        <v>2772.6330000000003</v>
      </c>
    </row>
    <row r="23" spans="1:10" ht="15.75" hidden="1">
      <c r="A23" s="18"/>
      <c r="B23" s="33" t="s">
        <v>30</v>
      </c>
      <c r="C23" s="20">
        <f>2000+1000</f>
        <v>3000</v>
      </c>
      <c r="D23" s="21">
        <v>1999.792</v>
      </c>
      <c r="E23" s="29">
        <f t="shared" si="1"/>
        <v>66.65973333333332</v>
      </c>
      <c r="F23" s="20"/>
      <c r="G23" s="21"/>
      <c r="H23" s="20"/>
      <c r="I23" s="16">
        <f t="shared" si="0"/>
        <v>3000</v>
      </c>
      <c r="J23" s="17">
        <f>D23-'[1]01.05.2011'!D22</f>
        <v>1269.7469999999998</v>
      </c>
    </row>
    <row r="24" spans="1:10" ht="142.5" customHeight="1">
      <c r="A24" s="18">
        <v>3</v>
      </c>
      <c r="B24" s="34" t="s">
        <v>31</v>
      </c>
      <c r="C24" s="20">
        <f>C25+C26</f>
        <v>30987.4</v>
      </c>
      <c r="D24" s="21">
        <f>D25+D26</f>
        <v>934.498</v>
      </c>
      <c r="E24" s="20">
        <f>D24/C24*100</f>
        <v>3.0157354279481337</v>
      </c>
      <c r="F24" s="20"/>
      <c r="G24" s="21"/>
      <c r="H24" s="20"/>
      <c r="I24" s="16">
        <f t="shared" si="0"/>
        <v>30987.4</v>
      </c>
      <c r="J24" s="17">
        <f>D24-'[1]01.05.2011'!D23</f>
        <v>577.067</v>
      </c>
    </row>
    <row r="25" spans="1:10" ht="47.25" hidden="1">
      <c r="A25" s="18" t="s">
        <v>32</v>
      </c>
      <c r="B25" s="31" t="s">
        <v>33</v>
      </c>
      <c r="C25" s="20">
        <v>2000</v>
      </c>
      <c r="D25" s="30">
        <f>357.431+577.067</f>
        <v>934.498</v>
      </c>
      <c r="E25" s="29">
        <f t="shared" si="1"/>
        <v>46.724900000000005</v>
      </c>
      <c r="F25" s="20"/>
      <c r="G25" s="28"/>
      <c r="H25" s="35"/>
      <c r="I25" s="16">
        <f t="shared" si="0"/>
        <v>2000</v>
      </c>
      <c r="J25" s="17">
        <f>D25-'[1]01.05.2011'!D24</f>
        <v>577.067</v>
      </c>
    </row>
    <row r="26" spans="1:10" ht="94.5" hidden="1">
      <c r="A26" s="18" t="s">
        <v>34</v>
      </c>
      <c r="B26" s="31" t="s">
        <v>35</v>
      </c>
      <c r="C26" s="20">
        <v>28987.4</v>
      </c>
      <c r="D26" s="30">
        <v>0</v>
      </c>
      <c r="E26" s="29">
        <f t="shared" si="1"/>
        <v>0</v>
      </c>
      <c r="F26" s="20"/>
      <c r="G26" s="28"/>
      <c r="H26" s="35"/>
      <c r="I26" s="16"/>
      <c r="J26" s="17">
        <f>D26-'[1]01.05.2011'!D25</f>
        <v>0</v>
      </c>
    </row>
    <row r="27" spans="1:10" ht="63">
      <c r="A27" s="18">
        <v>4</v>
      </c>
      <c r="B27" s="34" t="s">
        <v>36</v>
      </c>
      <c r="C27" s="20">
        <f>SUM(C28:C31)</f>
        <v>85700</v>
      </c>
      <c r="D27" s="21">
        <f>SUM(D28:D31)</f>
        <v>30773.944</v>
      </c>
      <c r="E27" s="20">
        <f>D27/C27*100</f>
        <v>35.9089194865811</v>
      </c>
      <c r="F27" s="20">
        <f>SUM(F28:F31)</f>
        <v>134568</v>
      </c>
      <c r="G27" s="21">
        <f>SUM(G28:G31)</f>
        <v>120662.768</v>
      </c>
      <c r="H27" s="20">
        <f>G27/F27*100</f>
        <v>89.6667617858629</v>
      </c>
      <c r="I27" s="16">
        <f t="shared" si="0"/>
        <v>220268</v>
      </c>
      <c r="J27" s="17">
        <f>D27-'[1]01.05.2011'!D26</f>
        <v>30168.304</v>
      </c>
    </row>
    <row r="28" spans="1:10" ht="31.5" hidden="1">
      <c r="A28" s="18" t="s">
        <v>37</v>
      </c>
      <c r="B28" s="31" t="s">
        <v>38</v>
      </c>
      <c r="C28" s="20">
        <f>100+15400+10000</f>
        <v>25500</v>
      </c>
      <c r="D28" s="30">
        <f>1392.375</f>
        <v>1392.375</v>
      </c>
      <c r="E28" s="29">
        <f t="shared" si="1"/>
        <v>5.460294117647059</v>
      </c>
      <c r="F28" s="20">
        <v>12808</v>
      </c>
      <c r="G28" s="30">
        <f>991.768</f>
        <v>991.768</v>
      </c>
      <c r="H28" s="29">
        <f>G28/F28*100</f>
        <v>7.7433479075577765</v>
      </c>
      <c r="I28" s="16">
        <f t="shared" si="0"/>
        <v>38308</v>
      </c>
      <c r="J28" s="17">
        <f>D28-'[1]01.05.2011'!D27</f>
        <v>1392.375</v>
      </c>
    </row>
    <row r="29" spans="1:10" ht="15.75" hidden="1">
      <c r="A29" s="18" t="s">
        <v>39</v>
      </c>
      <c r="B29" s="31" t="s">
        <v>40</v>
      </c>
      <c r="C29" s="20">
        <f>1069.2+160+1780+10840+22036.7+614.1+19500+500</f>
        <v>56500</v>
      </c>
      <c r="D29" s="30">
        <f>1069.2+160+6853.447+20684.922+614</f>
        <v>29381.569</v>
      </c>
      <c r="E29" s="29">
        <f t="shared" si="1"/>
        <v>52.00277699115045</v>
      </c>
      <c r="F29" s="20">
        <v>119671</v>
      </c>
      <c r="G29" s="30">
        <f>1175+118496</f>
        <v>119671</v>
      </c>
      <c r="H29" s="29">
        <f>G29/F29*100</f>
        <v>100</v>
      </c>
      <c r="I29" s="16">
        <f t="shared" si="0"/>
        <v>176171</v>
      </c>
      <c r="J29" s="17">
        <f>D29-'[1]01.05.2011'!D28</f>
        <v>28775.929</v>
      </c>
    </row>
    <row r="30" spans="1:10" ht="15.75" hidden="1">
      <c r="A30" s="18" t="s">
        <v>41</v>
      </c>
      <c r="B30" s="31" t="s">
        <v>42</v>
      </c>
      <c r="C30" s="20">
        <f>700</f>
        <v>700</v>
      </c>
      <c r="D30" s="30"/>
      <c r="E30" s="29">
        <f t="shared" si="1"/>
        <v>0</v>
      </c>
      <c r="F30" s="20">
        <v>2089</v>
      </c>
      <c r="G30" s="36"/>
      <c r="H30" s="29">
        <f>G30/F30*100</f>
        <v>0</v>
      </c>
      <c r="I30" s="16">
        <f t="shared" si="0"/>
        <v>2789</v>
      </c>
      <c r="J30" s="17">
        <f>D30-'[1]01.05.2011'!D29</f>
        <v>0</v>
      </c>
    </row>
    <row r="31" spans="1:10" ht="15.75" hidden="1">
      <c r="A31" s="18" t="s">
        <v>43</v>
      </c>
      <c r="B31" s="31" t="s">
        <v>44</v>
      </c>
      <c r="C31" s="20">
        <f>3000</f>
        <v>3000</v>
      </c>
      <c r="D31" s="30"/>
      <c r="E31" s="29">
        <f t="shared" si="1"/>
        <v>0</v>
      </c>
      <c r="F31" s="20"/>
      <c r="G31" s="28"/>
      <c r="H31" s="29"/>
      <c r="I31" s="16">
        <f t="shared" si="0"/>
        <v>3000</v>
      </c>
      <c r="J31" s="17">
        <f>D31-'[1]01.05.2011'!D30</f>
        <v>0</v>
      </c>
    </row>
    <row r="32" spans="1:10" ht="63">
      <c r="A32" s="18">
        <v>5</v>
      </c>
      <c r="B32" s="34" t="s">
        <v>45</v>
      </c>
      <c r="C32" s="37">
        <f>SUM(C33:C35)</f>
        <v>6113.1</v>
      </c>
      <c r="D32" s="38">
        <f>SUM(D33:D35)</f>
        <v>13.05</v>
      </c>
      <c r="E32" s="20">
        <f>D32/C32*100</f>
        <v>0.21347597781812827</v>
      </c>
      <c r="F32" s="37">
        <f>SUM(F33:F35)</f>
        <v>305</v>
      </c>
      <c r="G32" s="38">
        <f>SUM(G33:G35)</f>
        <v>0</v>
      </c>
      <c r="H32" s="39">
        <f>G32/F32*100</f>
        <v>0</v>
      </c>
      <c r="I32" s="16">
        <f t="shared" si="0"/>
        <v>6418.1</v>
      </c>
      <c r="J32" s="17">
        <f>D32-'[1]01.05.2011'!D31</f>
        <v>13.05</v>
      </c>
    </row>
    <row r="33" spans="1:10" ht="31.5" hidden="1">
      <c r="A33" s="40" t="s">
        <v>46</v>
      </c>
      <c r="B33" s="27" t="s">
        <v>47</v>
      </c>
      <c r="C33" s="20">
        <f>1000+1000+2000+1000+1000</f>
        <v>6000</v>
      </c>
      <c r="D33" s="30"/>
      <c r="E33" s="29">
        <f>D33/C33*100</f>
        <v>0</v>
      </c>
      <c r="F33" s="20"/>
      <c r="G33" s="28"/>
      <c r="H33" s="35"/>
      <c r="I33" s="16">
        <f t="shared" si="0"/>
        <v>6000</v>
      </c>
      <c r="J33" s="17">
        <f>D33-'[1]01.05.2011'!D32</f>
        <v>0</v>
      </c>
    </row>
    <row r="34" spans="1:10" ht="47.25" hidden="1">
      <c r="A34" s="40"/>
      <c r="B34" s="27" t="s">
        <v>48</v>
      </c>
      <c r="C34" s="20">
        <v>13.1</v>
      </c>
      <c r="D34" s="30">
        <f>13.05</f>
        <v>13.05</v>
      </c>
      <c r="E34" s="29">
        <f>D34/C34*100</f>
        <v>99.61832061068702</v>
      </c>
      <c r="F34" s="20"/>
      <c r="G34" s="28"/>
      <c r="H34" s="35"/>
      <c r="I34" s="16">
        <f t="shared" si="0"/>
        <v>13.1</v>
      </c>
      <c r="J34" s="17">
        <f>D34-'[1]01.05.2011'!D33</f>
        <v>13.05</v>
      </c>
    </row>
    <row r="35" spans="1:10" ht="31.5" hidden="1">
      <c r="A35" s="18" t="s">
        <v>49</v>
      </c>
      <c r="B35" s="31" t="s">
        <v>50</v>
      </c>
      <c r="C35" s="20">
        <f>100</f>
        <v>100</v>
      </c>
      <c r="D35" s="30"/>
      <c r="E35" s="29">
        <f t="shared" si="1"/>
        <v>0</v>
      </c>
      <c r="F35" s="20">
        <v>305</v>
      </c>
      <c r="G35" s="28"/>
      <c r="H35" s="29"/>
      <c r="I35" s="16">
        <f t="shared" si="0"/>
        <v>405</v>
      </c>
      <c r="J35" s="17">
        <f>D35-'[1]01.05.2011'!D34</f>
        <v>0</v>
      </c>
    </row>
    <row r="36" spans="1:10" ht="63">
      <c r="A36" s="18">
        <v>6</v>
      </c>
      <c r="B36" s="34" t="s">
        <v>51</v>
      </c>
      <c r="C36" s="37">
        <f>SUM(C37:C49)</f>
        <v>239656.31699999998</v>
      </c>
      <c r="D36" s="38">
        <f>SUM(D37:D49)</f>
        <v>133551.49874</v>
      </c>
      <c r="E36" s="20">
        <f>D36/C36*100</f>
        <v>55.72625850709373</v>
      </c>
      <c r="F36" s="37">
        <f>SUM(F37:F49)</f>
        <v>36298</v>
      </c>
      <c r="G36" s="38">
        <f>SUM(G37:G49)</f>
        <v>0</v>
      </c>
      <c r="H36" s="20">
        <f>G36/F36*100</f>
        <v>0</v>
      </c>
      <c r="I36" s="16">
        <f t="shared" si="0"/>
        <v>275954.317</v>
      </c>
      <c r="J36" s="17">
        <f>D36-'[1]01.05.2011'!D35</f>
        <v>16040.206739999994</v>
      </c>
    </row>
    <row r="37" spans="1:10" ht="31.5" hidden="1">
      <c r="A37" s="18" t="s">
        <v>52</v>
      </c>
      <c r="B37" s="31" t="s">
        <v>53</v>
      </c>
      <c r="C37" s="20">
        <f>751+630.88+9.6+215.761+22.712+22.549+123.136+6.72+78.96+15.331+123.351</f>
        <v>2000</v>
      </c>
      <c r="D37" s="30">
        <f>751</f>
        <v>751</v>
      </c>
      <c r="E37" s="29">
        <f t="shared" si="1"/>
        <v>37.55</v>
      </c>
      <c r="F37" s="20"/>
      <c r="G37" s="28"/>
      <c r="H37" s="29"/>
      <c r="I37" s="16">
        <f t="shared" si="0"/>
        <v>2000</v>
      </c>
      <c r="J37" s="17">
        <f>D37-'[1]01.05.2011'!D36</f>
        <v>0</v>
      </c>
    </row>
    <row r="38" spans="1:10" ht="31.5" hidden="1">
      <c r="A38" s="41" t="s">
        <v>54</v>
      </c>
      <c r="B38" s="31" t="s">
        <v>55</v>
      </c>
      <c r="C38" s="20">
        <f>122351.517</f>
        <v>122351.517</v>
      </c>
      <c r="D38" s="30">
        <f>122351.517</f>
        <v>122351.517</v>
      </c>
      <c r="E38" s="29">
        <f t="shared" si="1"/>
        <v>100</v>
      </c>
      <c r="F38" s="20"/>
      <c r="G38" s="28"/>
      <c r="H38" s="29"/>
      <c r="I38" s="16">
        <f t="shared" si="0"/>
        <v>122351.517</v>
      </c>
      <c r="J38" s="17">
        <f>D38-'[1]01.05.2011'!D37</f>
        <v>10000</v>
      </c>
    </row>
    <row r="39" spans="1:10" ht="31.5" hidden="1">
      <c r="A39" s="41" t="s">
        <v>56</v>
      </c>
      <c r="B39" s="31" t="s">
        <v>57</v>
      </c>
      <c r="C39" s="20">
        <f>425.8+12859.883+6654.317+60</f>
        <v>20000</v>
      </c>
      <c r="D39" s="30"/>
      <c r="E39" s="29">
        <f t="shared" si="1"/>
        <v>0</v>
      </c>
      <c r="F39" s="20"/>
      <c r="G39" s="30"/>
      <c r="H39" s="29"/>
      <c r="I39" s="16">
        <f t="shared" si="0"/>
        <v>20000</v>
      </c>
      <c r="J39" s="17">
        <f>D39-'[1]01.05.2011'!D38</f>
        <v>0</v>
      </c>
    </row>
    <row r="40" spans="1:10" ht="15.75" hidden="1">
      <c r="A40" s="18" t="s">
        <v>56</v>
      </c>
      <c r="B40" s="31" t="s">
        <v>58</v>
      </c>
      <c r="C40" s="20"/>
      <c r="D40" s="28"/>
      <c r="E40" s="29"/>
      <c r="F40" s="20"/>
      <c r="G40" s="36"/>
      <c r="H40" s="29"/>
      <c r="I40" s="16">
        <f t="shared" si="0"/>
        <v>0</v>
      </c>
      <c r="J40" s="17">
        <f>D40-'[1]01.05.2011'!D39</f>
        <v>0</v>
      </c>
    </row>
    <row r="41" spans="1:10" ht="31.5" hidden="1">
      <c r="A41" s="18" t="s">
        <v>59</v>
      </c>
      <c r="B41" s="31" t="s">
        <v>60</v>
      </c>
      <c r="C41" s="20">
        <f>1886</f>
        <v>1886</v>
      </c>
      <c r="D41" s="21"/>
      <c r="E41" s="29">
        <f t="shared" si="1"/>
        <v>0</v>
      </c>
      <c r="F41" s="20">
        <f>33627+2207</f>
        <v>35834</v>
      </c>
      <c r="G41" s="30"/>
      <c r="H41" s="29">
        <f>G41/F41*100</f>
        <v>0</v>
      </c>
      <c r="I41" s="16">
        <f t="shared" si="0"/>
        <v>37720</v>
      </c>
      <c r="J41" s="17">
        <f>D41-'[1]01.05.2011'!D40</f>
        <v>0</v>
      </c>
    </row>
    <row r="42" spans="1:10" ht="31.5" hidden="1">
      <c r="A42" s="18" t="s">
        <v>61</v>
      </c>
      <c r="B42" s="31" t="s">
        <v>62</v>
      </c>
      <c r="C42" s="20">
        <v>200</v>
      </c>
      <c r="D42" s="30">
        <f>35+35</f>
        <v>70</v>
      </c>
      <c r="E42" s="29">
        <f t="shared" si="1"/>
        <v>35</v>
      </c>
      <c r="F42" s="20"/>
      <c r="G42" s="28"/>
      <c r="H42" s="29"/>
      <c r="I42" s="16">
        <f t="shared" si="0"/>
        <v>200</v>
      </c>
      <c r="J42" s="17">
        <f>D42-'[1]01.05.2011'!D41</f>
        <v>0</v>
      </c>
    </row>
    <row r="43" spans="1:10" ht="47.25" hidden="1">
      <c r="A43" s="18" t="s">
        <v>63</v>
      </c>
      <c r="B43" s="31" t="s">
        <v>64</v>
      </c>
      <c r="C43" s="20">
        <f>22900</f>
        <v>22900</v>
      </c>
      <c r="D43" s="30"/>
      <c r="E43" s="29">
        <f t="shared" si="1"/>
        <v>0</v>
      </c>
      <c r="F43" s="20"/>
      <c r="G43" s="28"/>
      <c r="H43" s="29"/>
      <c r="I43" s="16">
        <f t="shared" si="0"/>
        <v>22900</v>
      </c>
      <c r="J43" s="17">
        <f>D43-'[1]01.05.2011'!D42</f>
        <v>0</v>
      </c>
    </row>
    <row r="44" spans="1:10" ht="47.25" hidden="1">
      <c r="A44" s="18" t="s">
        <v>63</v>
      </c>
      <c r="B44" s="31" t="s">
        <v>65</v>
      </c>
      <c r="C44" s="20">
        <v>54900</v>
      </c>
      <c r="D44" s="30"/>
      <c r="E44" s="29">
        <f t="shared" si="1"/>
        <v>0</v>
      </c>
      <c r="F44" s="20"/>
      <c r="G44" s="28"/>
      <c r="H44" s="29"/>
      <c r="I44" s="16">
        <f t="shared" si="0"/>
        <v>54900</v>
      </c>
      <c r="J44" s="17">
        <f>D44-'[1]01.05.2011'!D43</f>
        <v>0</v>
      </c>
    </row>
    <row r="45" spans="1:10" ht="78.75" hidden="1">
      <c r="A45" s="18" t="s">
        <v>63</v>
      </c>
      <c r="B45" s="31" t="s">
        <v>66</v>
      </c>
      <c r="C45" s="20">
        <f>319</f>
        <v>319</v>
      </c>
      <c r="D45" s="30">
        <v>308</v>
      </c>
      <c r="E45" s="29">
        <f t="shared" si="1"/>
        <v>96.55172413793103</v>
      </c>
      <c r="F45" s="20"/>
      <c r="G45" s="28"/>
      <c r="H45" s="29"/>
      <c r="I45" s="16"/>
      <c r="J45" s="17">
        <f>D45-'[1]01.05.2011'!D44</f>
        <v>308</v>
      </c>
    </row>
    <row r="46" spans="1:10" ht="47.25" hidden="1">
      <c r="A46" s="18" t="s">
        <v>67</v>
      </c>
      <c r="B46" s="31" t="s">
        <v>68</v>
      </c>
      <c r="C46" s="20">
        <f>200+99.8</f>
        <v>299.8</v>
      </c>
      <c r="D46" s="30"/>
      <c r="E46" s="42">
        <f t="shared" si="1"/>
        <v>0</v>
      </c>
      <c r="F46" s="20">
        <v>464</v>
      </c>
      <c r="G46" s="28"/>
      <c r="H46" s="29">
        <f>G46/F46*100</f>
        <v>0</v>
      </c>
      <c r="I46" s="16">
        <f t="shared" si="0"/>
        <v>763.8</v>
      </c>
      <c r="J46" s="17">
        <f>D46-'[1]01.05.2011'!D45</f>
        <v>-3330.58</v>
      </c>
    </row>
    <row r="47" spans="1:10" ht="31.5" hidden="1">
      <c r="A47" s="18" t="s">
        <v>69</v>
      </c>
      <c r="B47" s="31" t="s">
        <v>70</v>
      </c>
      <c r="C47" s="20">
        <v>7000</v>
      </c>
      <c r="D47" s="21">
        <v>5396.92174</v>
      </c>
      <c r="E47" s="29">
        <f t="shared" si="1"/>
        <v>77.098882</v>
      </c>
      <c r="F47" s="20"/>
      <c r="G47" s="28"/>
      <c r="H47" s="29"/>
      <c r="I47" s="16">
        <f t="shared" si="0"/>
        <v>7000</v>
      </c>
      <c r="J47" s="17">
        <f>D47-'[1]01.05.2011'!D46</f>
        <v>4532.04674</v>
      </c>
    </row>
    <row r="48" spans="1:10" ht="31.5" hidden="1">
      <c r="A48" s="18" t="s">
        <v>71</v>
      </c>
      <c r="B48" s="31" t="s">
        <v>72</v>
      </c>
      <c r="C48" s="20">
        <f>653.5+446.5+120+280+3500+1000+1000</f>
        <v>7000</v>
      </c>
      <c r="D48" s="30">
        <f>653.5+446.5+3361.3</f>
        <v>4461.3</v>
      </c>
      <c r="E48" s="29">
        <f t="shared" si="1"/>
        <v>63.73285714285715</v>
      </c>
      <c r="F48" s="20"/>
      <c r="G48" s="28"/>
      <c r="H48" s="29"/>
      <c r="I48" s="16">
        <f t="shared" si="0"/>
        <v>7000</v>
      </c>
      <c r="J48" s="17">
        <f>D48-'[1]01.05.2011'!D47</f>
        <v>4317.9800000000005</v>
      </c>
    </row>
    <row r="49" spans="1:10" ht="31.5" hidden="1">
      <c r="A49" s="18" t="s">
        <v>73</v>
      </c>
      <c r="B49" s="31" t="s">
        <v>74</v>
      </c>
      <c r="C49" s="20">
        <f>102+780+63+55-C42</f>
        <v>800</v>
      </c>
      <c r="D49" s="30">
        <f>37.76+190+55-D42</f>
        <v>212.76</v>
      </c>
      <c r="E49" s="29">
        <f t="shared" si="1"/>
        <v>26.594999999999995</v>
      </c>
      <c r="F49" s="20"/>
      <c r="G49" s="28"/>
      <c r="H49" s="29"/>
      <c r="I49" s="16">
        <f t="shared" si="0"/>
        <v>800</v>
      </c>
      <c r="J49" s="17">
        <f>D49-'[1]01.05.2011'!D48</f>
        <v>212.76</v>
      </c>
    </row>
    <row r="50" spans="1:10" ht="31.5">
      <c r="A50" s="18">
        <v>7</v>
      </c>
      <c r="B50" s="34" t="s">
        <v>75</v>
      </c>
      <c r="C50" s="20">
        <f>SUM(C51:C57)</f>
        <v>34506.7</v>
      </c>
      <c r="D50" s="21">
        <f>SUM(D51:D57)</f>
        <v>23274.954</v>
      </c>
      <c r="E50" s="20">
        <f>D50/C50*100</f>
        <v>67.45053569306832</v>
      </c>
      <c r="F50" s="20">
        <f>SUM(F51:F57)</f>
        <v>109690</v>
      </c>
      <c r="G50" s="21">
        <f>SUM(G51:G57)</f>
        <v>0</v>
      </c>
      <c r="H50" s="20">
        <f>G50/F50*100</f>
        <v>0</v>
      </c>
      <c r="I50" s="16">
        <f t="shared" si="0"/>
        <v>144196.7</v>
      </c>
      <c r="J50" s="17">
        <f>D50-'[1]01.05.2011'!D49</f>
        <v>23274.954</v>
      </c>
    </row>
    <row r="51" spans="1:10" ht="31.5" hidden="1">
      <c r="A51" s="18" t="s">
        <v>76</v>
      </c>
      <c r="B51" s="31" t="s">
        <v>77</v>
      </c>
      <c r="C51" s="20">
        <v>1000</v>
      </c>
      <c r="D51" s="30"/>
      <c r="E51" s="29">
        <f t="shared" si="1"/>
        <v>0</v>
      </c>
      <c r="F51" s="20"/>
      <c r="G51" s="28"/>
      <c r="H51" s="29"/>
      <c r="I51" s="16">
        <f t="shared" si="0"/>
        <v>1000</v>
      </c>
      <c r="J51" s="17">
        <f>D51-'[1]01.05.2011'!D50</f>
        <v>0</v>
      </c>
    </row>
    <row r="52" spans="1:10" ht="63" hidden="1">
      <c r="A52" s="18" t="s">
        <v>78</v>
      </c>
      <c r="B52" s="31" t="s">
        <v>79</v>
      </c>
      <c r="C52" s="20">
        <f>2106.5</f>
        <v>2106.5</v>
      </c>
      <c r="D52" s="36"/>
      <c r="E52" s="29"/>
      <c r="F52" s="20"/>
      <c r="G52" s="28"/>
      <c r="H52" s="29"/>
      <c r="I52" s="16">
        <f t="shared" si="0"/>
        <v>2106.5</v>
      </c>
      <c r="J52" s="17">
        <f>D52-'[1]01.05.2011'!D51</f>
        <v>0</v>
      </c>
    </row>
    <row r="53" spans="1:10" ht="15.75" hidden="1">
      <c r="A53" s="40" t="s">
        <v>80</v>
      </c>
      <c r="B53" s="43" t="s">
        <v>81</v>
      </c>
      <c r="C53" s="20">
        <f>1000+24000+5000</f>
        <v>30000</v>
      </c>
      <c r="D53" s="30">
        <f>656.56+22618.394</f>
        <v>23274.954</v>
      </c>
      <c r="E53" s="29">
        <f t="shared" si="1"/>
        <v>77.58318000000001</v>
      </c>
      <c r="F53" s="20">
        <v>72690</v>
      </c>
      <c r="G53" s="36"/>
      <c r="H53" s="29">
        <f>G53/F53*100</f>
        <v>0</v>
      </c>
      <c r="I53" s="16">
        <f t="shared" si="0"/>
        <v>102690</v>
      </c>
      <c r="J53" s="17">
        <f>D53-'[1]01.05.2011'!D52</f>
        <v>23274.954</v>
      </c>
    </row>
    <row r="54" spans="1:10" ht="15.75" hidden="1">
      <c r="A54" s="18" t="s">
        <v>82</v>
      </c>
      <c r="B54" s="31" t="s">
        <v>83</v>
      </c>
      <c r="C54" s="20">
        <v>0</v>
      </c>
      <c r="D54" s="30"/>
      <c r="E54" s="29" t="e">
        <f t="shared" si="1"/>
        <v>#DIV/0!</v>
      </c>
      <c r="F54" s="20"/>
      <c r="G54" s="28"/>
      <c r="H54" s="29" t="e">
        <f>G54/F54*100</f>
        <v>#DIV/0!</v>
      </c>
      <c r="I54" s="16">
        <f t="shared" si="0"/>
        <v>0</v>
      </c>
      <c r="J54" s="17">
        <f>D54-'[1]01.05.2011'!D53</f>
        <v>0</v>
      </c>
    </row>
    <row r="55" spans="1:10" ht="63" hidden="1">
      <c r="A55" s="18" t="s">
        <v>84</v>
      </c>
      <c r="B55" s="31" t="s">
        <v>85</v>
      </c>
      <c r="C55" s="20">
        <f>1295+1205-C57-C51-99.8</f>
        <v>1300.0000000000002</v>
      </c>
      <c r="D55" s="21"/>
      <c r="E55" s="29">
        <f t="shared" si="1"/>
        <v>0</v>
      </c>
      <c r="F55" s="20">
        <f>30000+3000+4000</f>
        <v>37000</v>
      </c>
      <c r="G55" s="21">
        <v>0</v>
      </c>
      <c r="H55" s="29">
        <f>G55/F55*100</f>
        <v>0</v>
      </c>
      <c r="I55" s="16">
        <f t="shared" si="0"/>
        <v>38300</v>
      </c>
      <c r="J55" s="17">
        <f>D55-'[1]01.05.2011'!D54</f>
        <v>0</v>
      </c>
    </row>
    <row r="56" spans="1:10" ht="31.5" hidden="1">
      <c r="A56" s="18" t="s">
        <v>86</v>
      </c>
      <c r="B56" s="31" t="s">
        <v>87</v>
      </c>
      <c r="C56" s="20"/>
      <c r="D56" s="21"/>
      <c r="E56" s="29"/>
      <c r="F56" s="20"/>
      <c r="G56" s="28"/>
      <c r="H56" s="35"/>
      <c r="I56" s="16">
        <f t="shared" si="0"/>
        <v>0</v>
      </c>
      <c r="J56" s="17">
        <f>D56-'[1]01.05.2011'!D55</f>
        <v>0</v>
      </c>
    </row>
    <row r="57" spans="1:10" ht="94.5" hidden="1">
      <c r="A57" s="18" t="s">
        <v>88</v>
      </c>
      <c r="B57" s="31" t="s">
        <v>89</v>
      </c>
      <c r="C57" s="20">
        <f>200-99.8</f>
        <v>100.2</v>
      </c>
      <c r="D57" s="30"/>
      <c r="E57" s="29">
        <f t="shared" si="1"/>
        <v>0</v>
      </c>
      <c r="F57" s="20"/>
      <c r="G57" s="28"/>
      <c r="H57" s="35"/>
      <c r="I57" s="16">
        <f t="shared" si="0"/>
        <v>100.2</v>
      </c>
      <c r="J57" s="17">
        <f>D57-'[1]01.05.2011'!D55</f>
        <v>0</v>
      </c>
    </row>
    <row r="58" spans="1:10" ht="47.25">
      <c r="A58" s="18">
        <v>8</v>
      </c>
      <c r="B58" s="34" t="s">
        <v>90</v>
      </c>
      <c r="C58" s="23">
        <f>SUM(C59:C60)</f>
        <v>60000</v>
      </c>
      <c r="D58" s="26">
        <f>SUM(D59:D60)</f>
        <v>42372.197</v>
      </c>
      <c r="E58" s="20">
        <f>D58/C58*100</f>
        <v>70.62032833333333</v>
      </c>
      <c r="F58" s="23">
        <f>SUM(F59:F62)</f>
        <v>103301.706</v>
      </c>
      <c r="G58" s="26">
        <f>SUM(G59:G62)</f>
        <v>103301.706</v>
      </c>
      <c r="H58" s="20">
        <f>G58/F58*100</f>
        <v>100</v>
      </c>
      <c r="I58" s="16">
        <f t="shared" si="0"/>
        <v>163301.706</v>
      </c>
      <c r="J58" s="17">
        <f>D58-'[1]01.05.2011'!D56</f>
        <v>32872.197</v>
      </c>
    </row>
    <row r="59" spans="1:10" ht="31.5" hidden="1">
      <c r="A59" s="18" t="s">
        <v>91</v>
      </c>
      <c r="B59" s="31" t="s">
        <v>92</v>
      </c>
      <c r="C59" s="20">
        <f>32854.87+17000</f>
        <v>49854.87</v>
      </c>
      <c r="D59" s="30">
        <f>35227.067</f>
        <v>35227.067</v>
      </c>
      <c r="E59" s="29">
        <f t="shared" si="1"/>
        <v>70.65922947948717</v>
      </c>
      <c r="F59" s="20"/>
      <c r="G59" s="28"/>
      <c r="H59" s="35"/>
      <c r="I59" s="16">
        <f t="shared" si="0"/>
        <v>49854.87</v>
      </c>
      <c r="J59" s="17">
        <f>D59-'[1]01.05.2011'!D57</f>
        <v>26727.067000000003</v>
      </c>
    </row>
    <row r="60" spans="1:10" ht="47.25" hidden="1">
      <c r="A60" s="18" t="s">
        <v>93</v>
      </c>
      <c r="B60" s="31" t="s">
        <v>94</v>
      </c>
      <c r="C60" s="20">
        <f>7145.13+3000</f>
        <v>10145.130000000001</v>
      </c>
      <c r="D60" s="30">
        <f>7145.13</f>
        <v>7145.13</v>
      </c>
      <c r="E60" s="29">
        <f t="shared" si="1"/>
        <v>70.42916157801822</v>
      </c>
      <c r="F60" s="20"/>
      <c r="G60" s="28"/>
      <c r="H60" s="35"/>
      <c r="I60" s="16">
        <f t="shared" si="0"/>
        <v>10145.130000000001</v>
      </c>
      <c r="J60" s="17">
        <f>D60-'[1]01.05.2011'!D58</f>
        <v>6145.13</v>
      </c>
    </row>
    <row r="61" spans="1:10" ht="15.75" hidden="1">
      <c r="A61" s="18"/>
      <c r="B61" s="31"/>
      <c r="C61" s="20"/>
      <c r="D61" s="28"/>
      <c r="E61" s="29"/>
      <c r="F61" s="20"/>
      <c r="G61" s="28"/>
      <c r="H61" s="35"/>
      <c r="I61" s="16"/>
      <c r="J61" s="17">
        <f>D61-'[1]01.05.2011'!D59</f>
        <v>0</v>
      </c>
    </row>
    <row r="62" spans="1:10" ht="47.25">
      <c r="A62" s="18"/>
      <c r="B62" s="44" t="s">
        <v>95</v>
      </c>
      <c r="C62" s="20"/>
      <c r="D62" s="28"/>
      <c r="E62" s="29"/>
      <c r="F62" s="20">
        <f>G62</f>
        <v>103301.706</v>
      </c>
      <c r="G62" s="30">
        <f>1036.412+11430.414+72040.94+18793.94</f>
        <v>103301.706</v>
      </c>
      <c r="H62" s="29">
        <f aca="true" t="shared" si="3" ref="H62:H69">G62/F62*100</f>
        <v>100</v>
      </c>
      <c r="I62" s="16">
        <f t="shared" si="0"/>
        <v>103301.706</v>
      </c>
      <c r="J62" s="17">
        <f>D62-'[1]01.05.2011'!D60</f>
        <v>0</v>
      </c>
    </row>
    <row r="63" spans="1:10" ht="15.75">
      <c r="A63" s="18"/>
      <c r="B63" s="45"/>
      <c r="C63" s="20"/>
      <c r="D63" s="28"/>
      <c r="E63" s="29"/>
      <c r="F63" s="20"/>
      <c r="G63" s="28"/>
      <c r="H63" s="29"/>
      <c r="I63" s="16"/>
      <c r="J63" s="17">
        <f>D63-'[1]01.05.2011'!D61</f>
        <v>0</v>
      </c>
    </row>
    <row r="64" spans="1:10" ht="17.25">
      <c r="A64" s="94" t="s">
        <v>96</v>
      </c>
      <c r="B64" s="95"/>
      <c r="C64" s="95"/>
      <c r="D64" s="95"/>
      <c r="E64" s="95"/>
      <c r="F64" s="95"/>
      <c r="G64" s="95"/>
      <c r="H64" s="96"/>
      <c r="I64" s="16"/>
      <c r="J64" s="17"/>
    </row>
    <row r="65" spans="1:10" ht="53.25" customHeight="1">
      <c r="A65" s="18">
        <v>9</v>
      </c>
      <c r="B65" s="46" t="s">
        <v>97</v>
      </c>
      <c r="C65" s="23">
        <f>SUM(C66:C68)</f>
        <v>56700</v>
      </c>
      <c r="D65" s="26">
        <f>SUM(D66:D68)</f>
        <v>24051.2</v>
      </c>
      <c r="E65" s="20">
        <f>D65/C65*100</f>
        <v>42.41834215167549</v>
      </c>
      <c r="F65" s="23">
        <f>SUM(F66:F68)</f>
        <v>62680</v>
      </c>
      <c r="G65" s="26">
        <f>SUM(G66:G68)</f>
        <v>31340</v>
      </c>
      <c r="H65" s="20">
        <f t="shared" si="3"/>
        <v>50</v>
      </c>
      <c r="I65" s="16">
        <f t="shared" si="0"/>
        <v>119380</v>
      </c>
      <c r="J65" s="17">
        <f>D65-'[1]01.05.2011'!D62</f>
        <v>7050</v>
      </c>
    </row>
    <row r="66" spans="1:10" ht="15.75" hidden="1">
      <c r="A66" s="18"/>
      <c r="B66" s="27" t="s">
        <v>98</v>
      </c>
      <c r="C66" s="47">
        <f>12000+15700</f>
        <v>27700</v>
      </c>
      <c r="D66" s="30">
        <f>4077.4+7973.8</f>
        <v>12051.2</v>
      </c>
      <c r="E66" s="29">
        <f>D66/C66*100</f>
        <v>43.50613718411553</v>
      </c>
      <c r="F66" s="48">
        <f>11512+17268</f>
        <v>28780</v>
      </c>
      <c r="G66" s="28">
        <f>5756+8634</f>
        <v>14390</v>
      </c>
      <c r="H66" s="29">
        <f t="shared" si="3"/>
        <v>50</v>
      </c>
      <c r="I66" s="16">
        <f t="shared" si="0"/>
        <v>56480</v>
      </c>
      <c r="J66" s="17">
        <f>D66-'[1]01.05.2011'!D63</f>
        <v>4050.000000000001</v>
      </c>
    </row>
    <row r="67" spans="1:10" ht="31.5" hidden="1">
      <c r="A67" s="18"/>
      <c r="B67" s="27" t="s">
        <v>99</v>
      </c>
      <c r="C67" s="47">
        <f>9000+20000</f>
        <v>29000</v>
      </c>
      <c r="D67" s="30">
        <f>8500+3500</f>
        <v>12000</v>
      </c>
      <c r="E67" s="29">
        <f>D67/C67*100</f>
        <v>41.37931034482759</v>
      </c>
      <c r="F67" s="47">
        <f>14200</f>
        <v>14200</v>
      </c>
      <c r="G67" s="49">
        <v>7100</v>
      </c>
      <c r="H67" s="29">
        <f t="shared" si="3"/>
        <v>50</v>
      </c>
      <c r="I67" s="16">
        <f t="shared" si="0"/>
        <v>43200</v>
      </c>
      <c r="J67" s="17">
        <f>D67-'[1]01.05.2011'!D64</f>
        <v>3000</v>
      </c>
    </row>
    <row r="68" spans="1:10" ht="15.75" hidden="1">
      <c r="A68" s="50"/>
      <c r="B68" s="51" t="s">
        <v>100</v>
      </c>
      <c r="C68" s="48"/>
      <c r="D68" s="28"/>
      <c r="E68" s="35"/>
      <c r="F68" s="47">
        <v>19700</v>
      </c>
      <c r="G68" s="49">
        <v>9850</v>
      </c>
      <c r="H68" s="29">
        <f t="shared" si="3"/>
        <v>50</v>
      </c>
      <c r="I68" s="16">
        <f t="shared" si="0"/>
        <v>19700</v>
      </c>
      <c r="J68" s="17">
        <f>D68-'[1]01.05.2011'!D65</f>
        <v>0</v>
      </c>
    </row>
    <row r="69" spans="1:10" ht="15.75">
      <c r="A69" s="50"/>
      <c r="B69" s="19" t="s">
        <v>101</v>
      </c>
      <c r="C69" s="52">
        <f>C10+C21+C24+C27+C32+C36+C50+C58+C65</f>
        <v>738956.7</v>
      </c>
      <c r="D69" s="53">
        <f>D10+D21+D24+D27+D32+D36+D50+D58+D65</f>
        <v>327147.21774000005</v>
      </c>
      <c r="E69" s="20">
        <f>D69/C69*100</f>
        <v>44.271500311181974</v>
      </c>
      <c r="F69" s="52">
        <f>F10+F21+F24+F27+F32+F36+F50+F58+F65</f>
        <v>1162126.706</v>
      </c>
      <c r="G69" s="53">
        <f>G10+G21+G24+G27+G32+G36+G50+G58+G65</f>
        <v>514794.026</v>
      </c>
      <c r="H69" s="20">
        <f t="shared" si="3"/>
        <v>44.297581609831795</v>
      </c>
      <c r="I69" s="16">
        <f t="shared" si="0"/>
        <v>1901083.406</v>
      </c>
      <c r="J69" s="17">
        <f>D69-'[1]01.05.2011'!D66</f>
        <v>131498.19274000003</v>
      </c>
    </row>
    <row r="70" spans="1:10" ht="15.75" hidden="1">
      <c r="A70" s="50"/>
      <c r="B70" s="19"/>
      <c r="C70" s="52"/>
      <c r="D70" s="53"/>
      <c r="E70" s="20"/>
      <c r="F70" s="52"/>
      <c r="G70" s="53"/>
      <c r="H70" s="20"/>
      <c r="I70" s="16">
        <f t="shared" si="0"/>
        <v>0</v>
      </c>
      <c r="J70" s="17">
        <f>D70-'[1]01.05.2011'!D67</f>
        <v>0</v>
      </c>
    </row>
    <row r="71" spans="1:10" ht="47.25" hidden="1">
      <c r="A71" s="54">
        <v>11</v>
      </c>
      <c r="B71" s="19" t="s">
        <v>102</v>
      </c>
      <c r="C71" s="20">
        <v>66289</v>
      </c>
      <c r="D71" s="30">
        <f>25842.43</f>
        <v>25842.43</v>
      </c>
      <c r="E71" s="29">
        <f>D71/C71*100</f>
        <v>38.984492148018525</v>
      </c>
      <c r="F71" s="48"/>
      <c r="G71" s="28"/>
      <c r="H71" s="35"/>
      <c r="I71" s="16">
        <f>C71+F71</f>
        <v>66289</v>
      </c>
      <c r="J71" s="17">
        <f>D71-'[1]01.05.2011'!D68</f>
        <v>5692.4000000000015</v>
      </c>
    </row>
    <row r="72" spans="1:10" ht="15.75" hidden="1">
      <c r="A72" s="55"/>
      <c r="B72" s="55" t="s">
        <v>103</v>
      </c>
      <c r="C72" s="29">
        <f>C69+C71</f>
        <v>805245.7</v>
      </c>
      <c r="D72" s="30">
        <f>D69+D71</f>
        <v>352989.64774000004</v>
      </c>
      <c r="E72" s="20">
        <f>D72/C72*100</f>
        <v>43.8362660912067</v>
      </c>
      <c r="F72" s="29">
        <f>F69+F71</f>
        <v>1162126.706</v>
      </c>
      <c r="G72" s="30">
        <f>G69+G71</f>
        <v>514794.026</v>
      </c>
      <c r="H72" s="20">
        <f>G72/F72*100</f>
        <v>44.297581609831795</v>
      </c>
      <c r="I72" s="16">
        <f>C72+F72</f>
        <v>1967372.406</v>
      </c>
      <c r="J72" s="17">
        <f>D72-'[1]01.05.2011'!D69</f>
        <v>137190.59274000002</v>
      </c>
    </row>
    <row r="73" spans="1:10" ht="15.75">
      <c r="A73" s="56"/>
      <c r="B73" s="57" t="s">
        <v>104</v>
      </c>
      <c r="C73" s="58">
        <f>C69-C65</f>
        <v>682256.7</v>
      </c>
      <c r="D73" s="59">
        <f>D69-D65</f>
        <v>303096.01774000004</v>
      </c>
      <c r="E73" s="25">
        <f>D73/C73*100</f>
        <v>44.42550989092523</v>
      </c>
      <c r="F73" s="58">
        <f>F69-F65-F55-F62</f>
        <v>959145</v>
      </c>
      <c r="G73" s="59">
        <f>G69-G65-G55-G62</f>
        <v>380152.32</v>
      </c>
      <c r="H73" s="25">
        <f>G73/F73*100</f>
        <v>39.6344994760959</v>
      </c>
      <c r="I73" s="16">
        <f>C73+F73</f>
        <v>1641401.7</v>
      </c>
      <c r="J73" s="17">
        <f>D73-'[1]01.05.2011'!D70</f>
        <v>124448.19274000003</v>
      </c>
    </row>
    <row r="74" spans="1:10" ht="15.75">
      <c r="A74" s="56"/>
      <c r="B74" s="60" t="s">
        <v>105</v>
      </c>
      <c r="C74" s="58">
        <f>C65</f>
        <v>56700</v>
      </c>
      <c r="D74" s="59">
        <f>D65</f>
        <v>24051.2</v>
      </c>
      <c r="E74" s="25">
        <f>D74/C74*100</f>
        <v>42.41834215167549</v>
      </c>
      <c r="F74" s="58">
        <f>F65</f>
        <v>62680</v>
      </c>
      <c r="G74" s="59">
        <f>G65</f>
        <v>31340</v>
      </c>
      <c r="H74" s="25">
        <f>G74/F74*100</f>
        <v>50</v>
      </c>
      <c r="I74" s="16">
        <f>C74+F74</f>
        <v>119380</v>
      </c>
      <c r="J74" s="17">
        <f>D74-'[1]01.05.2011'!D71</f>
        <v>7050</v>
      </c>
    </row>
    <row r="75" spans="1:8" ht="16.5">
      <c r="A75" s="61"/>
      <c r="B75" s="62"/>
      <c r="C75" s="63"/>
      <c r="D75" s="63"/>
      <c r="E75" s="64"/>
      <c r="F75" s="63"/>
      <c r="G75" s="63"/>
      <c r="H75" s="64"/>
    </row>
    <row r="76" spans="1:8" ht="70.5" customHeight="1">
      <c r="A76" s="61"/>
      <c r="B76" s="83" t="s">
        <v>106</v>
      </c>
      <c r="C76" s="83"/>
      <c r="D76" s="83"/>
      <c r="E76" s="83"/>
      <c r="F76" s="83"/>
      <c r="G76" s="83"/>
      <c r="H76" s="83"/>
    </row>
    <row r="77" spans="1:8" ht="15">
      <c r="A77" s="61"/>
      <c r="B77" s="65"/>
      <c r="C77" s="66"/>
      <c r="D77" s="67"/>
      <c r="E77" s="66"/>
      <c r="F77" s="66"/>
      <c r="G77" s="66"/>
      <c r="H77" s="66"/>
    </row>
    <row r="78" spans="1:8" ht="15" hidden="1">
      <c r="A78" s="61"/>
      <c r="B78" s="65" t="s">
        <v>107</v>
      </c>
      <c r="C78" s="66">
        <f>C72-'[1]01.05.2011'!C69</f>
        <v>140332.09999999998</v>
      </c>
      <c r="D78" s="66">
        <f>D72-'[1]01.05.2011'!D69</f>
        <v>137190.59274000002</v>
      </c>
      <c r="E78" s="66">
        <f>E72-'[1]01.05.2011'!E69</f>
        <v>11.381063640843223</v>
      </c>
      <c r="F78" s="66">
        <f>F72-'[1]01.05.2011'!F69</f>
        <v>98286.294</v>
      </c>
      <c r="G78" s="66">
        <f>G72-'[1]01.05.2011'!G69</f>
        <v>232616.90999999997</v>
      </c>
      <c r="H78" s="66">
        <f>H72-'[1]01.05.2011'!H69</f>
        <v>17.7731976122816</v>
      </c>
    </row>
    <row r="79" spans="1:8" ht="15" hidden="1">
      <c r="A79" s="61"/>
      <c r="B79" s="65"/>
      <c r="C79" s="66"/>
      <c r="D79" s="67"/>
      <c r="E79" s="66"/>
      <c r="F79" s="66"/>
      <c r="G79" s="66"/>
      <c r="H79" s="66"/>
    </row>
    <row r="80" spans="2:7" ht="15.75" hidden="1">
      <c r="B80" s="68" t="s">
        <v>108</v>
      </c>
      <c r="C80" s="69">
        <v>796292800</v>
      </c>
      <c r="D80" s="70">
        <v>357508799.96</v>
      </c>
      <c r="E80" s="71"/>
      <c r="F80" s="72"/>
      <c r="G80" s="73">
        <f>401642320</f>
        <v>401642320</v>
      </c>
    </row>
    <row r="81" spans="2:8" ht="16.5" hidden="1">
      <c r="B81" s="68" t="s">
        <v>109</v>
      </c>
      <c r="C81" s="69">
        <f>1379000+24281000+40000+15000+3000+1316500</f>
        <v>27034500</v>
      </c>
      <c r="D81" s="70">
        <f>487891.65+8999469.8+29167+5621.67+393923.74</f>
        <v>9916073.860000001</v>
      </c>
      <c r="E81" s="74">
        <f>D81/C81*100</f>
        <v>36.67933144685495</v>
      </c>
      <c r="F81" s="72"/>
      <c r="G81" s="73">
        <f>G62</f>
        <v>103301.706</v>
      </c>
      <c r="H81" s="1" t="s">
        <v>110</v>
      </c>
    </row>
    <row r="82" spans="2:8" ht="17.25" hidden="1">
      <c r="B82" s="1" t="s">
        <v>111</v>
      </c>
      <c r="C82" s="70">
        <f>C80-C81</f>
        <v>769258300</v>
      </c>
      <c r="D82" s="70">
        <f>D80-D81</f>
        <v>347592726.09999996</v>
      </c>
      <c r="E82" s="75">
        <f>D82/C82*100</f>
        <v>45.18543720620238</v>
      </c>
      <c r="F82" s="72"/>
      <c r="G82" s="73">
        <f>G55</f>
        <v>0</v>
      </c>
      <c r="H82" s="1" t="s">
        <v>112</v>
      </c>
    </row>
    <row r="83" spans="3:7" ht="15" hidden="1">
      <c r="C83" s="76">
        <f>C72*1000-C82</f>
        <v>35987400</v>
      </c>
      <c r="D83" s="77">
        <f>D72-D82/1000</f>
        <v>5396.921640000073</v>
      </c>
      <c r="E83" s="72"/>
      <c r="F83" s="72"/>
      <c r="G83" s="73">
        <f>G80/1000+G81+G82</f>
        <v>504944.026</v>
      </c>
    </row>
    <row r="84" spans="2:8" ht="15" hidden="1">
      <c r="B84" s="1" t="s">
        <v>113</v>
      </c>
      <c r="C84" s="78">
        <f>C47</f>
        <v>7000</v>
      </c>
      <c r="D84" s="78">
        <f>D47</f>
        <v>5396.92174</v>
      </c>
      <c r="E84" s="72"/>
      <c r="F84" s="72"/>
      <c r="G84" s="73">
        <f>G68</f>
        <v>9850</v>
      </c>
      <c r="H84" s="1" t="s">
        <v>114</v>
      </c>
    </row>
    <row r="85" spans="2:7" ht="15" hidden="1">
      <c r="B85" s="1" t="s">
        <v>115</v>
      </c>
      <c r="C85" s="16">
        <f>C26</f>
        <v>28987.4</v>
      </c>
      <c r="D85" s="78"/>
      <c r="E85" s="72"/>
      <c r="F85" s="72"/>
      <c r="G85" s="73"/>
    </row>
    <row r="86" spans="2:7" ht="15" hidden="1">
      <c r="B86" s="1" t="s">
        <v>116</v>
      </c>
      <c r="C86" s="76">
        <f>C83-C84*1000-C85*1000</f>
        <v>0</v>
      </c>
      <c r="D86" s="79">
        <f>D83-D84</f>
        <v>-9.999992653320078E-05</v>
      </c>
      <c r="E86" s="80" t="s">
        <v>117</v>
      </c>
      <c r="F86" s="72"/>
      <c r="G86" s="73">
        <f>G72-G83-G84</f>
        <v>0</v>
      </c>
    </row>
    <row r="87" spans="4:8" ht="15" hidden="1">
      <c r="D87" s="16">
        <f>D26*1000</f>
        <v>0</v>
      </c>
      <c r="G87" s="73"/>
      <c r="H87" s="1" t="s">
        <v>118</v>
      </c>
    </row>
    <row r="88" spans="2:7" ht="15" hidden="1">
      <c r="B88" s="1" t="s">
        <v>119</v>
      </c>
      <c r="C88" s="16">
        <f>C10+C21+C24+C27+C32+C36+C50+C58</f>
        <v>682256.7</v>
      </c>
      <c r="D88" s="16">
        <f>D10+D21+D24+D27+D32+D36+D50+D58</f>
        <v>303096.01774000004</v>
      </c>
      <c r="E88" s="16">
        <f>D88/C88*100</f>
        <v>44.42550989092523</v>
      </c>
      <c r="F88" s="16">
        <f>F10+F21+F24+F27+F32+F36+F50+F58</f>
        <v>1099446.706</v>
      </c>
      <c r="G88" s="16">
        <f>G10+G21+G24+G27+G32+G36+G50+G58</f>
        <v>483454.026</v>
      </c>
    </row>
    <row r="89" spans="2:4" ht="15" hidden="1">
      <c r="B89" s="1" t="s">
        <v>120</v>
      </c>
      <c r="C89" s="17">
        <f>C11+C12+C16+C20</f>
        <v>85285.683</v>
      </c>
      <c r="D89" s="17">
        <f>D11+D12+D16+D20</f>
        <v>26094.069</v>
      </c>
    </row>
    <row r="90" spans="2:7" ht="15" hidden="1">
      <c r="B90" s="81" t="s">
        <v>121</v>
      </c>
      <c r="C90" s="82">
        <f>C88+C74</f>
        <v>738956.7</v>
      </c>
      <c r="D90" s="82">
        <f>D88+D74</f>
        <v>327147.21774000005</v>
      </c>
      <c r="G90" s="73"/>
    </row>
    <row r="91" spans="2:7" ht="15" hidden="1">
      <c r="B91" s="81"/>
      <c r="C91" s="82"/>
      <c r="G91" s="73"/>
    </row>
    <row r="92" ht="15" hidden="1">
      <c r="D92" s="16">
        <v>26094.069</v>
      </c>
    </row>
    <row r="93" ht="15" hidden="1">
      <c r="D93" s="17">
        <f>D89-D92</f>
        <v>0</v>
      </c>
    </row>
    <row r="94" ht="15" hidden="1"/>
    <row r="95" ht="15" hidden="1"/>
    <row r="96" ht="15" hidden="1"/>
    <row r="640" ht="15"/>
    <row r="641" ht="15"/>
    <row r="642" ht="15"/>
    <row r="643" ht="15"/>
    <row r="644" ht="15"/>
    <row r="645" ht="15"/>
    <row r="646" ht="15"/>
    <row r="647" ht="15"/>
    <row r="648" ht="15"/>
    <row r="649" ht="15"/>
    <row r="650" ht="15"/>
    <row r="651" ht="15"/>
    <row r="744" ht="15"/>
    <row r="745" ht="15"/>
    <row r="746" ht="15"/>
    <row r="747" ht="15"/>
    <row r="748" ht="15"/>
    <row r="749" ht="15"/>
    <row r="750" ht="15"/>
    <row r="751" ht="15"/>
  </sheetData>
  <sheetProtection/>
  <mergeCells count="13">
    <mergeCell ref="A1:H1"/>
    <mergeCell ref="A2:H2"/>
    <mergeCell ref="A3:H3"/>
    <mergeCell ref="A4:H4"/>
    <mergeCell ref="E5:F5"/>
    <mergeCell ref="G5:H5"/>
    <mergeCell ref="B76:H76"/>
    <mergeCell ref="B6:B7"/>
    <mergeCell ref="C6:E6"/>
    <mergeCell ref="F6:H6"/>
    <mergeCell ref="A9:H9"/>
    <mergeCell ref="A11:A20"/>
    <mergeCell ref="A64:H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2011-09-06T08:52:25Z</cp:lastPrinted>
  <dcterms:created xsi:type="dcterms:W3CDTF">2011-06-07T05:32:02Z</dcterms:created>
  <dcterms:modified xsi:type="dcterms:W3CDTF">2011-12-19T10:48:54Z</dcterms:modified>
  <cp:category/>
  <cp:version/>
  <cp:contentType/>
  <cp:contentStatus/>
</cp:coreProperties>
</file>